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8.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11.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12.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14.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drawings/drawing15.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drawings/drawing16.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drawings/drawing17.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18.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drawings/drawing19.xml" ContentType="application/vnd.openxmlformats-officedocument.drawingml.chartshapes+xml"/>
  <Override PartName="/xl/charts/chart43.xml" ContentType="application/vnd.openxmlformats-officedocument.drawingml.chart+xml"/>
  <Override PartName="/xl/charts/chart44.xml" ContentType="application/vnd.openxmlformats-officedocument.drawingml.chart+xml"/>
  <Override PartName="/xl/drawings/drawing20.xml" ContentType="application/vnd.openxmlformats-officedocument.drawingml.chartshapes+xml"/>
  <Override PartName="/xl/charts/chart45.xml" ContentType="application/vnd.openxmlformats-officedocument.drawingml.chart+xml"/>
  <Override PartName="/xl/charts/chart46.xml" ContentType="application/vnd.openxmlformats-officedocument.drawingml.chart+xml"/>
  <Override PartName="/xl/drawings/drawing21.xml" ContentType="application/vnd.openxmlformats-officedocument.drawingml.chartshapes+xml"/>
  <Override PartName="/xl/charts/chart47.xml" ContentType="application/vnd.openxmlformats-officedocument.drawingml.chart+xml"/>
  <Override PartName="/xl/charts/chart48.xml" ContentType="application/vnd.openxmlformats-officedocument.drawingml.chart+xml"/>
  <Override PartName="/xl/drawings/drawing22.xml" ContentType="application/vnd.openxmlformats-officedocument.drawingml.chartshapes+xml"/>
  <Override PartName="/xl/charts/chart49.xml" ContentType="application/vnd.openxmlformats-officedocument.drawingml.chart+xml"/>
  <Override PartName="/xl/charts/chart50.xml" ContentType="application/vnd.openxmlformats-officedocument.drawingml.chart+xml"/>
  <Override PartName="/xl/drawings/drawing23.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drawings/drawing24.xml" ContentType="application/vnd.openxmlformats-officedocument.drawingml.chartshapes+xml"/>
  <Override PartName="/xl/charts/chart53.xml" ContentType="application/vnd.openxmlformats-officedocument.drawingml.chart+xml"/>
  <Override PartName="/xl/charts/chart54.xml" ContentType="application/vnd.openxmlformats-officedocument.drawingml.chart+xml"/>
  <Override PartName="/xl/drawings/drawing25.xml" ContentType="application/vnd.openxmlformats-officedocument.drawingml.chartshapes+xml"/>
  <Override PartName="/xl/charts/chart55.xml" ContentType="application/vnd.openxmlformats-officedocument.drawingml.chart+xml"/>
  <Override PartName="/xl/charts/chart56.xml" ContentType="application/vnd.openxmlformats-officedocument.drawingml.chart+xml"/>
  <Override PartName="/xl/drawings/drawing26.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drawings/drawing27.xml" ContentType="application/vnd.openxmlformats-officedocument.drawingml.chartshapes+xml"/>
  <Override PartName="/xl/charts/chart59.xml" ContentType="application/vnd.openxmlformats-officedocument.drawingml.chart+xml"/>
  <Override PartName="/xl/charts/chart60.xml" ContentType="application/vnd.openxmlformats-officedocument.drawingml.chart+xml"/>
  <Override PartName="/xl/drawings/drawing28.xml" ContentType="application/vnd.openxmlformats-officedocument.drawingml.chartshapes+xml"/>
  <Override PartName="/xl/charts/chart61.xml" ContentType="application/vnd.openxmlformats-officedocument.drawingml.chart+xml"/>
  <Override PartName="/xl/charts/chart62.xml" ContentType="application/vnd.openxmlformats-officedocument.drawingml.chart+xml"/>
  <Override PartName="/xl/drawings/drawing29.xml" ContentType="application/vnd.openxmlformats-officedocument.drawingml.chartshapes+xml"/>
  <Override PartName="/xl/charts/chart63.xml" ContentType="application/vnd.openxmlformats-officedocument.drawingml.chart+xml"/>
  <Override PartName="/xl/charts/chart64.xml" ContentType="application/vnd.openxmlformats-officedocument.drawingml.chart+xml"/>
  <Override PartName="/xl/drawings/drawing30.xml" ContentType="application/vnd.openxmlformats-officedocument.drawingml.chartshapes+xml"/>
  <Override PartName="/xl/charts/chart65.xml" ContentType="application/vnd.openxmlformats-officedocument.drawingml.chart+xml"/>
  <Override PartName="/xl/charts/chart66.xml" ContentType="application/vnd.openxmlformats-officedocument.drawingml.chart+xml"/>
  <Override PartName="/xl/drawings/drawing31.xml" ContentType="application/vnd.openxmlformats-officedocument.drawingml.chartshapes+xml"/>
  <Override PartName="/xl/charts/chart67.xml" ContentType="application/vnd.openxmlformats-officedocument.drawingml.chart+xml"/>
  <Override PartName="/xl/charts/chart68.xml" ContentType="application/vnd.openxmlformats-officedocument.drawingml.chart+xml"/>
  <Override PartName="/xl/drawings/drawing32.xml" ContentType="application/vnd.openxmlformats-officedocument.drawingml.chartshapes+xml"/>
  <Override PartName="/xl/charts/chart69.xml" ContentType="application/vnd.openxmlformats-officedocument.drawingml.chart+xml"/>
  <Override PartName="/xl/charts/chart70.xml" ContentType="application/vnd.openxmlformats-officedocument.drawingml.chart+xml"/>
  <Override PartName="/xl/drawings/drawing3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420" windowWidth="19440" windowHeight="7335" firstSheet="6" activeTab="7"/>
  </bookViews>
  <sheets>
    <sheet name="BALANCEDICIEMBRE2018" sheetId="48" r:id="rId1"/>
    <sheet name="ESTADO DE SITUACION FINANCIERA" sheetId="55" r:id="rId2"/>
    <sheet name="P Y G DICIEMBRE DE2018" sheetId="50" r:id="rId3"/>
    <sheet name="COMPARATIVO2016-2017DIC" sheetId="52" r:id="rId4"/>
    <sheet name="pyg COMPARAT.2016-2017" sheetId="51" r:id="rId5"/>
    <sheet name="RAZONES FINANCIERAS 2017" sheetId="46" r:id="rId6"/>
    <sheet name="ESTADODECAMBIOSENLASITUACIONFIN" sheetId="37" r:id="rId7"/>
    <sheet name="ESTADODECAMBIOSPATRIMONIO" sheetId="38" r:id="rId8"/>
    <sheet name="estado de flujo de efectivo 201" sheetId="41" r:id="rId9"/>
    <sheet name="NOTAS ESPECIFICAS" sheetId="40" r:id="rId10"/>
  </sheets>
  <externalReferences>
    <externalReference r:id="rId11"/>
    <externalReference r:id="rId12"/>
  </externalReferences>
  <calcPr calcId="144525"/>
</workbook>
</file>

<file path=xl/calcChain.xml><?xml version="1.0" encoding="utf-8"?>
<calcChain xmlns="http://schemas.openxmlformats.org/spreadsheetml/2006/main">
  <c r="C11" i="41" l="1"/>
  <c r="C13" i="41" l="1"/>
  <c r="C17" i="41"/>
  <c r="C21" i="41"/>
  <c r="C40" i="41" l="1"/>
  <c r="C42" i="41" l="1"/>
  <c r="E21" i="41"/>
  <c r="E18" i="41"/>
  <c r="E17" i="41"/>
  <c r="E11" i="41"/>
  <c r="E13" i="41"/>
  <c r="E36" i="41"/>
  <c r="E12" i="41"/>
  <c r="E16" i="41"/>
  <c r="D11" i="55" l="1"/>
  <c r="E42" i="41" l="1"/>
  <c r="E38" i="41" l="1"/>
  <c r="E40" i="41" l="1"/>
  <c r="E17" i="38"/>
  <c r="E18" i="37"/>
  <c r="D21" i="50" l="1"/>
  <c r="D19" i="50"/>
  <c r="D16" i="50"/>
  <c r="D14" i="50"/>
  <c r="D12" i="50"/>
  <c r="D8" i="50"/>
  <c r="H13" i="55"/>
  <c r="H16" i="55"/>
  <c r="H10" i="55"/>
  <c r="H15" i="55" s="1"/>
  <c r="D17" i="55"/>
  <c r="D16" i="55"/>
  <c r="D15" i="55" s="1"/>
  <c r="D10" i="55"/>
  <c r="D23" i="48"/>
  <c r="F20" i="48"/>
  <c r="D13" i="48"/>
  <c r="D12" i="48"/>
  <c r="D7" i="50" l="1"/>
  <c r="D33" i="50" s="1"/>
  <c r="H19" i="55"/>
  <c r="D19" i="55"/>
  <c r="G127" i="46"/>
  <c r="H127" i="46" s="1"/>
  <c r="E127" i="46"/>
  <c r="F74" i="46"/>
  <c r="D75" i="46"/>
  <c r="D74" i="46"/>
  <c r="D45" i="46"/>
  <c r="D30" i="46"/>
  <c r="C23" i="46"/>
  <c r="C22" i="46" s="1"/>
  <c r="D23" i="46"/>
  <c r="D20" i="46"/>
  <c r="C30" i="46"/>
  <c r="C31" i="46" s="1"/>
  <c r="C33" i="46" s="1"/>
  <c r="C20" i="46"/>
  <c r="C18" i="46"/>
  <c r="C21" i="46" s="1"/>
  <c r="C10" i="46"/>
  <c r="C6" i="46"/>
  <c r="C16" i="46" s="1"/>
  <c r="E35" i="51"/>
  <c r="E21" i="51"/>
  <c r="E37" i="51"/>
  <c r="E33" i="51"/>
  <c r="E31" i="51"/>
  <c r="E18" i="51"/>
  <c r="E15" i="51"/>
  <c r="G16" i="51"/>
  <c r="E11" i="51"/>
  <c r="C38" i="51"/>
  <c r="C31" i="51"/>
  <c r="C25" i="51"/>
  <c r="C18" i="51"/>
  <c r="C15" i="51" s="1"/>
  <c r="C13" i="51"/>
  <c r="C11" i="51"/>
  <c r="C8" i="51"/>
  <c r="C28" i="52"/>
  <c r="C26" i="52"/>
  <c r="C32" i="52" s="1"/>
  <c r="C22" i="52"/>
  <c r="C14" i="52"/>
  <c r="C8" i="52"/>
  <c r="C19" i="52" s="1"/>
  <c r="C25" i="46" l="1"/>
  <c r="C19" i="51"/>
  <c r="C40" i="51" s="1"/>
  <c r="F28" i="46" l="1"/>
  <c r="F30" i="46" l="1"/>
  <c r="F24" i="46"/>
  <c r="F19" i="46"/>
  <c r="F14" i="46"/>
  <c r="F13" i="46"/>
  <c r="F12" i="46"/>
  <c r="F8" i="46"/>
  <c r="F7" i="46"/>
  <c r="F23" i="46"/>
  <c r="G9" i="51"/>
  <c r="G31" i="51"/>
  <c r="I31" i="51" s="1"/>
  <c r="E25" i="51"/>
  <c r="G25" i="51" s="1"/>
  <c r="I25" i="51" s="1"/>
  <c r="G37" i="51"/>
  <c r="I37" i="51" s="1"/>
  <c r="G36" i="51"/>
  <c r="I36" i="51" s="1"/>
  <c r="G35" i="51"/>
  <c r="I35" i="51" s="1"/>
  <c r="G34" i="51"/>
  <c r="I34" i="51" s="1"/>
  <c r="G33" i="51"/>
  <c r="I33" i="51" s="1"/>
  <c r="G32" i="51"/>
  <c r="I32" i="51" s="1"/>
  <c r="G30" i="51"/>
  <c r="I30" i="51" s="1"/>
  <c r="G29" i="51"/>
  <c r="I29" i="51" s="1"/>
  <c r="G28" i="51"/>
  <c r="I28" i="51" s="1"/>
  <c r="G27" i="51"/>
  <c r="I27" i="51" s="1"/>
  <c r="G26" i="51"/>
  <c r="I26" i="51" s="1"/>
  <c r="G23" i="51"/>
  <c r="I23" i="51" s="1"/>
  <c r="G22" i="51"/>
  <c r="I22" i="51" s="1"/>
  <c r="G21" i="51"/>
  <c r="I21" i="51" s="1"/>
  <c r="G17" i="51"/>
  <c r="I17" i="51" s="1"/>
  <c r="G14" i="51"/>
  <c r="I14" i="51" s="1"/>
  <c r="E13" i="51"/>
  <c r="G12" i="51"/>
  <c r="I12" i="51" s="1"/>
  <c r="G11" i="51"/>
  <c r="I11" i="51" s="1"/>
  <c r="G10" i="51"/>
  <c r="I10" i="51" s="1"/>
  <c r="I9" i="51"/>
  <c r="E8" i="51"/>
  <c r="G7" i="51"/>
  <c r="I7" i="51" s="1"/>
  <c r="G6" i="51"/>
  <c r="I6" i="51" s="1"/>
  <c r="F20" i="46" l="1"/>
  <c r="G13" i="51"/>
  <c r="I13" i="51" s="1"/>
  <c r="G18" i="51"/>
  <c r="G8" i="51"/>
  <c r="I8" i="51" s="1"/>
  <c r="E38" i="51"/>
  <c r="G38" i="51" s="1"/>
  <c r="I38" i="51" s="1"/>
  <c r="I18" i="51"/>
  <c r="G15" i="51"/>
  <c r="I15" i="51" s="1"/>
  <c r="E19" i="51" l="1"/>
  <c r="E40" i="51" l="1"/>
  <c r="G40" i="51" s="1"/>
  <c r="I40" i="51" s="1"/>
  <c r="G19" i="51"/>
  <c r="I19" i="51" s="1"/>
  <c r="I17" i="52" l="1"/>
  <c r="I10" i="52"/>
  <c r="G31" i="52"/>
  <c r="I31" i="52" s="1"/>
  <c r="G30" i="52"/>
  <c r="I30" i="52" s="1"/>
  <c r="G29" i="52"/>
  <c r="I29" i="52" s="1"/>
  <c r="E28" i="52"/>
  <c r="G25" i="52"/>
  <c r="I25" i="52" s="1"/>
  <c r="G24" i="52"/>
  <c r="I24" i="52" s="1"/>
  <c r="G23" i="52"/>
  <c r="I23" i="52" s="1"/>
  <c r="E22" i="52"/>
  <c r="G22" i="52" s="1"/>
  <c r="I22" i="52" s="1"/>
  <c r="G17" i="52"/>
  <c r="G16" i="52"/>
  <c r="I16" i="52" s="1"/>
  <c r="G15" i="52"/>
  <c r="I15" i="52" s="1"/>
  <c r="E14" i="52"/>
  <c r="G12" i="52"/>
  <c r="I12" i="52" s="1"/>
  <c r="G11" i="52"/>
  <c r="G10" i="52"/>
  <c r="E8" i="52"/>
  <c r="G8" i="52" s="1"/>
  <c r="I8" i="52" s="1"/>
  <c r="F23" i="48"/>
  <c r="D11" i="48"/>
  <c r="F11" i="48" s="1"/>
  <c r="D22" i="48"/>
  <c r="F17" i="48"/>
  <c r="F22" i="48" s="1"/>
  <c r="D7" i="48"/>
  <c r="E26" i="52" l="1"/>
  <c r="G26" i="52" s="1"/>
  <c r="I26" i="52" s="1"/>
  <c r="E32" i="52"/>
  <c r="G32" i="52" s="1"/>
  <c r="I32" i="52" s="1"/>
  <c r="E19" i="52"/>
  <c r="G19" i="52" s="1"/>
  <c r="I19" i="52" s="1"/>
  <c r="G28" i="52"/>
  <c r="I28" i="52" s="1"/>
  <c r="G14" i="52"/>
  <c r="I14" i="52" s="1"/>
  <c r="F27" i="48"/>
  <c r="D15" i="48"/>
  <c r="F15" i="48" s="1"/>
  <c r="F7" i="48"/>
  <c r="H117" i="46"/>
  <c r="H116" i="46"/>
  <c r="E116" i="46"/>
  <c r="F95" i="46"/>
  <c r="F105" i="46" s="1"/>
  <c r="E34" i="46"/>
  <c r="D22" i="46"/>
  <c r="D85" i="46"/>
  <c r="D106" i="46" s="1"/>
  <c r="D18" i="46"/>
  <c r="F18" i="46" s="1"/>
  <c r="D10" i="46"/>
  <c r="F10" i="46" s="1"/>
  <c r="D6" i="46"/>
  <c r="F6" i="46" s="1"/>
  <c r="F22" i="46" l="1"/>
  <c r="F45" i="46"/>
  <c r="E54" i="46" s="1"/>
  <c r="F54" i="46" s="1"/>
  <c r="G30" i="46"/>
  <c r="F85" i="46"/>
  <c r="F106" i="46" s="1"/>
  <c r="G105" i="46" s="1"/>
  <c r="D16" i="46"/>
  <c r="D96" i="46"/>
  <c r="D21" i="46"/>
  <c r="F21" i="46" s="1"/>
  <c r="D42" i="46"/>
  <c r="D95" i="46"/>
  <c r="E50" i="46"/>
  <c r="F50" i="46" s="1"/>
  <c r="D31" i="46"/>
  <c r="F31" i="46" s="1"/>
  <c r="F16" i="46" l="1"/>
  <c r="F75" i="46"/>
  <c r="G18" i="46"/>
  <c r="F96" i="46"/>
  <c r="G95" i="46" s="1"/>
  <c r="H95" i="46" s="1"/>
  <c r="G22" i="46"/>
  <c r="G6" i="46"/>
  <c r="E55" i="46"/>
  <c r="F55" i="46" s="1"/>
  <c r="F56" i="46" s="1"/>
  <c r="E51" i="46"/>
  <c r="F51" i="46" s="1"/>
  <c r="F52" i="46" s="1"/>
  <c r="D58" i="46" s="1"/>
  <c r="G10" i="46"/>
  <c r="G31" i="46"/>
  <c r="D33" i="46"/>
  <c r="F33" i="46" s="1"/>
  <c r="G28" i="46"/>
  <c r="D25" i="46"/>
  <c r="F25" i="46" s="1"/>
  <c r="G116" i="46"/>
  <c r="G118" i="46" s="1"/>
  <c r="E95" i="46"/>
  <c r="D105" i="46"/>
  <c r="E105" i="46" s="1"/>
  <c r="E74" i="46"/>
  <c r="D84" i="46"/>
  <c r="E84" i="46" s="1"/>
  <c r="G25" i="46" l="1"/>
  <c r="F84" i="46"/>
  <c r="G84" i="46" s="1"/>
  <c r="G74" i="46"/>
  <c r="F42" i="46"/>
  <c r="D59" i="46" s="1"/>
  <c r="G33" i="46"/>
  <c r="G18" i="37"/>
  <c r="I14" i="38" l="1"/>
  <c r="I16" i="38"/>
  <c r="I17" i="38" s="1"/>
  <c r="I15" i="38"/>
  <c r="I16" i="37"/>
  <c r="I15" i="37"/>
  <c r="G17" i="38" l="1"/>
  <c r="I18" i="37"/>
  <c r="I21" i="37" s="1"/>
</calcChain>
</file>

<file path=xl/sharedStrings.xml><?xml version="1.0" encoding="utf-8"?>
<sst xmlns="http://schemas.openxmlformats.org/spreadsheetml/2006/main" count="522" uniqueCount="279">
  <si>
    <t>INSTITUTO COLOMBIANO DE BALLET - INCOLBALLET</t>
  </si>
  <si>
    <t>NIT 890.326.969-0</t>
  </si>
  <si>
    <t>CODIGO</t>
  </si>
  <si>
    <t>ACTIVO</t>
  </si>
  <si>
    <t>CORRIENTE</t>
  </si>
  <si>
    <t>Efectivo</t>
  </si>
  <si>
    <t>Deudores</t>
  </si>
  <si>
    <t>NO CORRIENTES</t>
  </si>
  <si>
    <t>Propiedad planta y Equipo</t>
  </si>
  <si>
    <t>Depreciacion acumulada</t>
  </si>
  <si>
    <t>Otros Activos</t>
  </si>
  <si>
    <t>TOTAL ACTIVOS</t>
  </si>
  <si>
    <t>PASIVOS</t>
  </si>
  <si>
    <t>CORRIENTES</t>
  </si>
  <si>
    <t>Cuentas por Pagar</t>
  </si>
  <si>
    <t>PATRIMONIO</t>
  </si>
  <si>
    <t>Capital Fiscal</t>
  </si>
  <si>
    <t>Excedente o Deficit del Ejercicio</t>
  </si>
  <si>
    <t>TOTAL PASIVO MAS PATRIMONIO</t>
  </si>
  <si>
    <t>TOTAL PASIVOS</t>
  </si>
  <si>
    <t xml:space="preserve"> </t>
  </si>
  <si>
    <t>INGRESOS</t>
  </si>
  <si>
    <t>Otros Ingresos</t>
  </si>
  <si>
    <t>GASTOS</t>
  </si>
  <si>
    <t>Superavit por Donacion</t>
  </si>
  <si>
    <t>COSTOS</t>
  </si>
  <si>
    <t>Otros Gastos</t>
  </si>
  <si>
    <t>INSTITUTO COLOMBIANO DE BALLET "INCOLBALLET"</t>
  </si>
  <si>
    <t>RESULTADO DEL EJERCICIO</t>
  </si>
  <si>
    <t>Contadora</t>
  </si>
  <si>
    <t>MARIA AMPARO SANCHEZ RODRIGUEZ</t>
  </si>
  <si>
    <t>Bancos</t>
  </si>
  <si>
    <t>Pasivos Estimados</t>
  </si>
  <si>
    <t>Impuestos Contribuciones y Tasas</t>
  </si>
  <si>
    <t xml:space="preserve"> Contadora</t>
  </si>
  <si>
    <t>T.P.35202-T</t>
  </si>
  <si>
    <t>T . P .  35202-T</t>
  </si>
  <si>
    <t>EDID CONSUELO BRAVO PEREZ</t>
  </si>
  <si>
    <t>Gasto Publico Social</t>
  </si>
  <si>
    <t xml:space="preserve">BALANCE GENERAL COMPARATIVO </t>
  </si>
  <si>
    <t>VARIACION</t>
  </si>
  <si>
    <t>PRORCENTAJE</t>
  </si>
  <si>
    <t>Rentas por cobrar</t>
  </si>
  <si>
    <t>Otros Pasivos Recaudos para Terceros</t>
  </si>
  <si>
    <t xml:space="preserve">Contadora </t>
  </si>
  <si>
    <t>T.P. 305202-T</t>
  </si>
  <si>
    <t xml:space="preserve">Directora General  </t>
  </si>
  <si>
    <t>NIT  890,326,969-0</t>
  </si>
  <si>
    <t>NO CORRIENTE</t>
  </si>
  <si>
    <t>Inversiones</t>
  </si>
  <si>
    <t>Propiedad Planta y Equipo</t>
  </si>
  <si>
    <t>Depreciacion Acumulada</t>
  </si>
  <si>
    <t>TOTAL ACTIVO</t>
  </si>
  <si>
    <t>PASIVO</t>
  </si>
  <si>
    <t>Pasivos Para Contingencias</t>
  </si>
  <si>
    <t>TOTAL PASIVO</t>
  </si>
  <si>
    <t>HACIENDA PUBLICA</t>
  </si>
  <si>
    <t>TOTAL PASIVO Y PATRIMONIO</t>
  </si>
  <si>
    <t>INGRESOS OPERACIONALES</t>
  </si>
  <si>
    <t>GASTOS OPERACIONALES</t>
  </si>
  <si>
    <t>EXCEDENTE (DEFICIT) OPERACIONAL</t>
  </si>
  <si>
    <t>UTILIDAD  O PERDIDA NETA DEL EJERCICIO</t>
  </si>
  <si>
    <t>RAZONES FINANCIERA</t>
  </si>
  <si>
    <t>VALOR ECONOMICO AGREGADO (EVA)</t>
  </si>
  <si>
    <t>EVA= UNA - (ANF X  CPC)</t>
  </si>
  <si>
    <t>UNA= Utilidad Neta Financiada ----------------</t>
  </si>
  <si>
    <t xml:space="preserve">corresponde a la Utilidad  Neta Antes de Im </t>
  </si>
  <si>
    <t xml:space="preserve">puestos + los  Gastos financieroscieros </t>
  </si>
  <si>
    <t>ANF= Activos  Netos Financiados---------------</t>
  </si>
  <si>
    <t>(patrimonio + pasivo con costo)</t>
  </si>
  <si>
    <t>pasivos con costo (obligaciones financiera</t>
  </si>
  <si>
    <t xml:space="preserve"> a CP Y LP, Bonos Pasivos con socios, oros</t>
  </si>
  <si>
    <t>CPC = Costo Promedio Ponderado</t>
  </si>
  <si>
    <t>Recursos</t>
  </si>
  <si>
    <t>Tasa</t>
  </si>
  <si>
    <t>Participacion</t>
  </si>
  <si>
    <t>Ponderaciòn</t>
  </si>
  <si>
    <t>Obligaciones Financieras</t>
  </si>
  <si>
    <t>Patrimonio</t>
  </si>
  <si>
    <t xml:space="preserve">CPC </t>
  </si>
  <si>
    <t>CPC</t>
  </si>
  <si>
    <t>RAZONES FINANCIERAS</t>
  </si>
  <si>
    <t>RAZONES DE ENDEUDAMIENTO</t>
  </si>
  <si>
    <t>TOTAL PATRIMONIO</t>
  </si>
  <si>
    <t>RENTABILIDAD DE LA INVERSION</t>
  </si>
  <si>
    <t>UTILIDAD DEL EJERCICIO</t>
  </si>
  <si>
    <t>RENDIMIENTO PATRIMONIO</t>
  </si>
  <si>
    <t>UTILIDAD NETA</t>
  </si>
  <si>
    <t>RAZON CIRCULANTE</t>
  </si>
  <si>
    <t>ACTIVO CIRCULANTE</t>
  </si>
  <si>
    <t>PASIVO CIRCULANTE</t>
  </si>
  <si>
    <t>CAPITAL DE TRABAJO</t>
  </si>
  <si>
    <t>ACTIVO CIRCULANTE - PASIVO</t>
  </si>
  <si>
    <t>CIRCULANTE</t>
  </si>
  <si>
    <t>SERVICIOS EDUCATIVOS</t>
  </si>
  <si>
    <t>OTROS INGRESOS</t>
  </si>
  <si>
    <t>SUELDOS Y SALARIOS</t>
  </si>
  <si>
    <t>CONTRIBUCIONES EFECTIVAS</t>
  </si>
  <si>
    <t>APORTES SOBRE LA NOMINA</t>
  </si>
  <si>
    <t>GENERALES</t>
  </si>
  <si>
    <t>GASTO PUBLICO SOCIAL</t>
  </si>
  <si>
    <t>EDUCACION</t>
  </si>
  <si>
    <t>OTROS GASTOS</t>
  </si>
  <si>
    <t>COMISIONES</t>
  </si>
  <si>
    <t>FINANCIEROS</t>
  </si>
  <si>
    <t>TOTAL EGRESOS</t>
  </si>
  <si>
    <t>T.P. 35202-T</t>
  </si>
  <si>
    <t>ACTIVOS CORRIENTES</t>
  </si>
  <si>
    <t>PASIVOS CORRIENTES</t>
  </si>
  <si>
    <t>TOTALES</t>
  </si>
  <si>
    <t>ESTADO DE  CAMBIOS EN LA SITUACION FINANCIERA</t>
  </si>
  <si>
    <t>ESTADO DE  CAMBIOS EN EL PATRIMONIO</t>
  </si>
  <si>
    <t>CAPITAL FISCAL</t>
  </si>
  <si>
    <t>RESULTADOS DEL EJERCICIO</t>
  </si>
  <si>
    <t>SUPRAVIT POR DONACION</t>
  </si>
  <si>
    <t>S</t>
  </si>
  <si>
    <t>CGN2005_003NE_NOTAS_DE_CARACTER_ESPECIFICO</t>
  </si>
  <si>
    <t>D</t>
  </si>
  <si>
    <t>1.1.10.05</t>
  </si>
  <si>
    <t>saldos en cuentas corrientes a 31 de Diciembre de 2015 debidamente conciliados,confrontados y verificados los movimientos de extractos bancarios</t>
  </si>
  <si>
    <t>1.1.10.06</t>
  </si>
  <si>
    <t>saldos en cuenta de ahorros  a 31 de Diciembre de 2015 debidamente conciliados,confrontados y verificados los movimientos de extractos bancarios</t>
  </si>
  <si>
    <t>1.4.07.23</t>
  </si>
  <si>
    <t>la cuenta de prestacion de servicios  hubo recaudos en esta cuentas quedando un saldo pendiente por cobrar con no mas de 60 dias asi: Corporacuin Colombo Britanico $3590, Fundacion Ballet Capital $1800. Coorporacion para la Cultura $5847. Biblioteca Departamental $2000 y Fundacion Museo Rayo $8078</t>
  </si>
  <si>
    <t>1.6.55.90</t>
  </si>
  <si>
    <t>Corresponde a la escenografia para la obra Don Quijote comprada en Julio de 2013, se deprecia por el metodo de line recta utilizado para el desarrollo del objeto social de la institucion, relacionado directamente con la produccion</t>
  </si>
  <si>
    <t>1.6.65.90</t>
  </si>
  <si>
    <t>Corresponde a una Lavadora, Secadora utilizados para el mantenimiento del vestuario en general de las obras, espejos para salas de ballet y folderama comprada en año  2013, se deprecia por el metodo de line recta utilizado para el desarrollo del objeto social de la institucion, relacionado directamente con la produccion</t>
  </si>
  <si>
    <t>1.6.70.90</t>
  </si>
  <si>
    <t>Corresponde a  Equipo para sonido y amplificacion ,  cuatro DVD  radigravadoras y cuatro ventiladores y una camara fotografica especial  necesarias para los ensayos en las salas de ballet, comprada en año  2013, se deprecia por el metodo de line recta utilizado para el desarrollo del objeto social de la institucion, relacionado directamente con la produccion</t>
  </si>
  <si>
    <t>2.4.36</t>
  </si>
  <si>
    <t>La cuenta retenciones en la fuente realizadas en el mes de diciembre a favor de la direccion de Impuestos por pagos a proveedores, para ser canceladas en Enero  de 2016</t>
  </si>
  <si>
    <t>2.7.10.05</t>
  </si>
  <si>
    <t>Mediante resolucion No. 125 de Septiembre 14 de 2011.En cumplimiento de la sentencia judicial a favor del señor Jairo Alberto lastre proferida por el tribunal Contencioso Administrativo del valle del cauca y confirmada por el Concejo de Estado, se determino que el total de la obligacion a cancelar es 294.365.736 se cancelaron durante la vigencia 270.528.479 quedando un saldo por pagar de $23.837.257 a la EPS Salud Coop dicha entidad adelanto la liquidacion con intereses de mora por lo anterior el dia 29 de Octubre de 2012 se adelanto consulta al Ministerio de la procteccion Social a fin de que dicha instancia defina a que entidad se deben girar esos recursos. A la fecha no se ha obtenido respuesta. Mediante resolucion Numero 100 de 22 de diciembre de 2014 en cumplimiento de sentencia Judicial a favor de la señora Maria Fernanda Davila Cifuentes proferida por el jusgado de descongestion de Cali y confirmada por el tribunal contencioso Administrativo del Valle del Cauca Sala laboral radicado con el numero 76-00123-31-000-2005-05378-01, se determino que el total de la obligacion a a cancelar es la suma de  $257.215.391 se cancelalan durante la vigencia 2014 la suma de $150.000.000 quedando un saldo pendiente de $107.215.391, se cancelo en el mes de Diciembre $73,203,832 quedando mpendiente por cancelar los aportes a la segurida social por valor de $34,011,559</t>
  </si>
  <si>
    <t>4.3.90.90</t>
  </si>
  <si>
    <t xml:space="preserve">Corresponde a venta de servicios prestados en cumplimiento del desarrollo de las actividades de la institucion como la presentacion de funciones de Ballet en los teatros o en la entidad que lo solicite, talleres y actividades de extencion en danza </t>
  </si>
  <si>
    <t>4.4.28.90</t>
  </si>
  <si>
    <t>Corresponde a la transferencia por concepto de estampilla Pro Cultura $636,096 ,intereses de cesantias $8301 del departamento del valle del Cauca , proyecto  municipio Santiago de Cali proyecto fortalecimiento del Ballet por $366967</t>
  </si>
  <si>
    <t>5.1.01.90</t>
  </si>
  <si>
    <t xml:space="preserve">Corresponde a Carga adicional pagada a docentes artisticos </t>
  </si>
  <si>
    <t>5.8.05.90</t>
  </si>
  <si>
    <t>Corresponde agastos bancarios , ajuste al peso en la cancelacion de las retenciones al momento de realizar el redondeo de las cifras en los diferentes formularios</t>
  </si>
  <si>
    <t>8.3.15.10</t>
  </si>
  <si>
    <t>La cuenta de  Activos Retirados se afecto al retirar algunos activos obsoletos</t>
  </si>
  <si>
    <t>9.3.46.19</t>
  </si>
  <si>
    <t>No está registrado los Equipos de computo que estan en las oficinas de la institucion, pues es un convenio con la Gobernacion del Valle en calidad de prestamo por dos Años</t>
  </si>
  <si>
    <t>9.1.20.02</t>
  </si>
  <si>
    <t xml:space="preserve">se registro en esta cuenta el valor corespondiente a la liquidacion del año 2014,  de las demandas en curso de Maria Fernanda Davila con sentencia numero 195 del 27 de Junio de 2013 y proceso numero 76-01-23-31000 2005-05378-01 en segunda Instancia,  la resolucion que reconoce y ordena el pago y el proceso de Luis Eraclio Aguilar sin sentencia a la fecha </t>
  </si>
  <si>
    <t xml:space="preserve">   </t>
  </si>
  <si>
    <t>INSTITUTO COLOMBIANO DE BALLET INCOLBALLET</t>
  </si>
  <si>
    <t xml:space="preserve">ESTADO DE LA ACTIVIDAD FINANCIERA ECONOMICA Y SOCIAL </t>
  </si>
  <si>
    <t>DIFERENCIA</t>
  </si>
  <si>
    <t>%-Variac</t>
  </si>
  <si>
    <t>I N G R E S O S</t>
  </si>
  <si>
    <t>INGRESOS FISCALES</t>
  </si>
  <si>
    <t>NO TRIBUTARIOS</t>
  </si>
  <si>
    <t>VENTA DE SERVICIOS</t>
  </si>
  <si>
    <t>OTROS SERVICIOS</t>
  </si>
  <si>
    <t>TRANSFERENCIAS</t>
  </si>
  <si>
    <t>OTRAS TRANSFERENCIAS</t>
  </si>
  <si>
    <t>OPERACIONES INTERINSTITUCI</t>
  </si>
  <si>
    <t>FONDOS RECIBIDOS</t>
  </si>
  <si>
    <t>OTROS INGRESOS ORDINARIOS</t>
  </si>
  <si>
    <t>EXTRAORDINARIOS</t>
  </si>
  <si>
    <t>TOTAL INGRESOS</t>
  </si>
  <si>
    <t>C O S T O S</t>
  </si>
  <si>
    <t>COSTO DE VENTAS DE SERVICI</t>
  </si>
  <si>
    <t>TOTAL COSTOS</t>
  </si>
  <si>
    <t>G A S T O S</t>
  </si>
  <si>
    <t>DE ADMINISTRACION</t>
  </si>
  <si>
    <t>IMPUESTOS, CONTRIBUCIONES</t>
  </si>
  <si>
    <t>PROVISIONES, DEPRECIACIONE</t>
  </si>
  <si>
    <t>DEPRECIACION DE PROPIEDAD</t>
  </si>
  <si>
    <t>GANANCIA O PERDIDA</t>
  </si>
  <si>
    <t xml:space="preserve">Directora general </t>
  </si>
  <si>
    <t>PARTICIP.2016</t>
  </si>
  <si>
    <t>EVA ( 2016) =</t>
  </si>
  <si>
    <t>AL 31 DE DICIEMBRE DE 2016-2017</t>
  </si>
  <si>
    <t>COMPARATIVA 2016-2017</t>
  </si>
  <si>
    <t>ANALISIS FINANCIERO 2017</t>
  </si>
  <si>
    <t>EVA ( 2017) =</t>
  </si>
  <si>
    <r>
      <t xml:space="preserve">INDICA QUE EL 42 </t>
    </r>
    <r>
      <rPr>
        <b/>
        <sz val="10"/>
        <rFont val="Arial"/>
        <family val="2"/>
      </rPr>
      <t xml:space="preserve">% </t>
    </r>
    <r>
      <rPr>
        <sz val="10"/>
        <rFont val="Arial"/>
        <family val="2"/>
      </rPr>
      <t>DE LOS ACTIVOS HAN SIDO FINANCIADOS CON RECURSOS DE LOS ACREEDORES Y SE OBSERVA UN DECREMENTO DEL 43% EN ESTA PARTICIPACION CON RESPECTO AL AÑO DE 2016, DONDE EL INDICADOR SE UBICO EN EL 85%.</t>
    </r>
  </si>
  <si>
    <t>185923519-343587154</t>
  </si>
  <si>
    <t xml:space="preserve">INDICA QUE PARA LA VIGENCIA DEL 2017 EL 76 % DEL PATRIMONIO DE LA ENTIDAD PERTENECE A TERCEROS, PRESENTANDO UN DECRECIMENTO DEL 482% CON RESPECTO A LA VIGENCIA DEL 2016, DONDE EL INDICADOR SE UBICO EN EL 558% </t>
  </si>
  <si>
    <r>
      <t>LA RENTABILIDAD GENERADA POR LOS ACTIVOS FUE DEL  46</t>
    </r>
    <r>
      <rPr>
        <b/>
        <sz val="10"/>
        <rFont val="Arial"/>
        <family val="2"/>
      </rPr>
      <t>% , PRESENTANDO UNA VARIACION POSITIVA DEL  136% .CON RESPECTO DEL AÑO 2016</t>
    </r>
  </si>
  <si>
    <t xml:space="preserve">EL RENDIMIENTO PATRIMONIAL QUE PRESENTO PARA EL AÑO 2017 ES DEL 80,80% VARIACION POSITIVA DEL 675,18% CON REFERENCIA </t>
  </si>
  <si>
    <t>DE 2016 su indicador fue  -512,46</t>
  </si>
  <si>
    <t>LOS INDICADORES MUESTRAN QUE LA ENTIDAD  DISPONE DE 1,41  PESOS  PARA RESPONDER POR SUS PASIVOS</t>
  </si>
  <si>
    <t>PRESENTO UN INCRECIM1NTO DE 0,87 CON RESPECTO DEL AÑO 2016 DEONCE EL INDICADOR FUE DE 0,54 PESOS</t>
  </si>
  <si>
    <t>344,768,953-244237439</t>
  </si>
  <si>
    <t xml:space="preserve">UNA VEZ LA ENTIDAD  CANCELE EL TOTAL DE SUS OBLIGACIONES CORRIENTE LE QUEDAN (10,531,514)  MILLONES POR CUBRIR DE LA VIGENCIA 2017   </t>
  </si>
  <si>
    <t xml:space="preserve">PARA EL AÑO 2016 EL CAPITAL DE TRABAJO FUE DE -157,663,635 PRESENTO UN INCRECIMIENTO DE 258,195,149 MILLONES </t>
  </si>
  <si>
    <t>INSTITUTO COLOMBIANO DE BALLET CLASICO - INCOLBALLET</t>
  </si>
  <si>
    <t>ESTADO DE SITUACION FINANCIERA</t>
  </si>
  <si>
    <t>AL 31 DE DICIEMBRE DE 2018</t>
  </si>
  <si>
    <t>JORGUE ENRIQUE VIVAS MUÑOZ</t>
  </si>
  <si>
    <t xml:space="preserve">Director General </t>
  </si>
  <si>
    <t>Beneficios a Empleados</t>
  </si>
  <si>
    <t xml:space="preserve">Provisiones </t>
  </si>
  <si>
    <t>Resultado del Ejercicio</t>
  </si>
  <si>
    <t>Deudoras de Control</t>
  </si>
  <si>
    <t>Deudoras por contra ( cr)</t>
  </si>
  <si>
    <t>Bienes Recibidos en custodia</t>
  </si>
  <si>
    <t>CUENTAS DE ORDEN DEUDORAS</t>
  </si>
  <si>
    <t>CUENTAS DE ORDEN ACREEDORAS</t>
  </si>
  <si>
    <t>Acreedoras  por  Contra (db)</t>
  </si>
  <si>
    <t>cifras en pesos colombianos sin decimales</t>
  </si>
  <si>
    <t>$</t>
  </si>
  <si>
    <t>Codigo</t>
  </si>
  <si>
    <t>PASIVOS Y PATRIMONIO</t>
  </si>
  <si>
    <t>Efectivo Y Equvalente a Efectivo</t>
  </si>
  <si>
    <t>Cuentas por cobrar</t>
  </si>
  <si>
    <t>Prestacion de Servicios</t>
  </si>
  <si>
    <t>1 de Enero a  31 DE DICIEMBRE DE  2018</t>
  </si>
  <si>
    <t>ESTADO DE RESULTADOS</t>
  </si>
  <si>
    <t>(Cifras en  pesos Colombianos sin decimales)</t>
  </si>
  <si>
    <t>INGRESOS Y GASTOS</t>
  </si>
  <si>
    <t>JORGE ENRIQUE VIVAS MUÑOZ</t>
  </si>
  <si>
    <t>Servicios Educativos</t>
  </si>
  <si>
    <t>Administracion del Sistama de Seguridad Social</t>
  </si>
  <si>
    <t>Otros Servicios</t>
  </si>
  <si>
    <t>Transferencias y Subvenciones</t>
  </si>
  <si>
    <t>Otras Transferencia</t>
  </si>
  <si>
    <t xml:space="preserve">Operaciones Institucionales </t>
  </si>
  <si>
    <t>Fondos Recibidos</t>
  </si>
  <si>
    <t>INGRESOS CON CONTRAPRESTACION</t>
  </si>
  <si>
    <t>Financieros</t>
  </si>
  <si>
    <t>Ingresos diversos</t>
  </si>
  <si>
    <t>Costo de Venta de Servicios Educativos</t>
  </si>
  <si>
    <t>Sueldos y Salarios</t>
  </si>
  <si>
    <t>Contribuciones Imputadas</t>
  </si>
  <si>
    <t>Contribuciones Efectivas</t>
  </si>
  <si>
    <t>Aportes Sobre la Nomina</t>
  </si>
  <si>
    <t>Prestaciones Sociales</t>
  </si>
  <si>
    <t>Gastos del Personal diverso</t>
  </si>
  <si>
    <t>Generales</t>
  </si>
  <si>
    <t>Deteriodo, Depreciaciaciones, Amortizaciones y Provisiones</t>
  </si>
  <si>
    <t xml:space="preserve">RESULTADO DE OPERACIÓN </t>
  </si>
  <si>
    <r>
      <t xml:space="preserve">Venta de </t>
    </r>
    <r>
      <rPr>
        <b/>
        <i/>
        <u/>
        <sz val="8"/>
        <rFont val="Arial"/>
        <family val="2"/>
      </rPr>
      <t>S</t>
    </r>
    <r>
      <rPr>
        <b/>
        <i/>
        <sz val="8"/>
        <rFont val="Arial"/>
        <family val="2"/>
      </rPr>
      <t>ervicios</t>
    </r>
  </si>
  <si>
    <t xml:space="preserve">Director General  </t>
  </si>
  <si>
    <t>INCREMENTO EN EL CAPITAL DE TRABAJO</t>
  </si>
  <si>
    <t>INSTITUTO COLOMBIANO MDE BALLET CLASICO - INCOLBALLET</t>
  </si>
  <si>
    <t xml:space="preserve">ESTADO DE FLUJO DE EFECTIVO </t>
  </si>
  <si>
    <t>DE 1 DE ENERO A 31 DE DICIEMBRE DE 2017 -2018</t>
  </si>
  <si>
    <t>(cifras en pesos colombiano sin decimales)</t>
  </si>
  <si>
    <t>ACTIVIDADES DE OPERACIÓN</t>
  </si>
  <si>
    <t>FLUJO DE EFECTIVO DEL PERIODO</t>
  </si>
  <si>
    <t>Saldo inicial de efectivo y Equivalente al efectivo</t>
  </si>
  <si>
    <t>Saldo final de efectivo y Equivalente al efectivo</t>
  </si>
  <si>
    <t>Flujo de efectivo neto en actividades de operación</t>
  </si>
  <si>
    <t>pago a proveedores</t>
  </si>
  <si>
    <t>recibidos por prestacion de servicios  educativos</t>
  </si>
  <si>
    <t xml:space="preserve">recibidos por transferencias </t>
  </si>
  <si>
    <t xml:space="preserve">recibidos por operaciones interinstitucionales </t>
  </si>
  <si>
    <t>recibidos por intereses financieros</t>
  </si>
  <si>
    <t>recibidos por ingresos diversos</t>
  </si>
  <si>
    <t>pago sueldos y salarios</t>
  </si>
  <si>
    <t>pago auxilio funerario</t>
  </si>
  <si>
    <t>pago aportes a sobre la nomina</t>
  </si>
  <si>
    <t>pago prestaciones sociales</t>
  </si>
  <si>
    <t>pago gastos diversol del personal de nomina</t>
  </si>
  <si>
    <t>pago servicios publicos</t>
  </si>
  <si>
    <t>pago de seguros</t>
  </si>
  <si>
    <t>pago de honorarios</t>
  </si>
  <si>
    <t>pago de servicios</t>
  </si>
  <si>
    <t>pago de comisiones</t>
  </si>
  <si>
    <t>pago de gastos legales</t>
  </si>
  <si>
    <t>pago de cuota de fiscalizacion</t>
  </si>
  <si>
    <t>pago de gravamen a los movimientos financieros</t>
  </si>
  <si>
    <t>pagos del gasto publico social - escuela</t>
  </si>
  <si>
    <t>pago de arrendamiento operativo</t>
  </si>
  <si>
    <t>pago de viaticos y gastos de viaje</t>
  </si>
  <si>
    <t>pago de impresos y publicaciones</t>
  </si>
  <si>
    <t>pago comunicación y transporte</t>
  </si>
  <si>
    <t>recibidos por cuentas por cobrar</t>
  </si>
  <si>
    <t>pago de retenciones practicadas</t>
  </si>
  <si>
    <t xml:space="preserve">pago de tasas impuestos y contribuciones </t>
  </si>
  <si>
    <t>pago proyecto escuelas de paz</t>
  </si>
  <si>
    <t>INCREMENTO DEL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</si>
</sst>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 #,##0"/>
    <numFmt numFmtId="165" formatCode="0.000"/>
    <numFmt numFmtId="166" formatCode="_ * #,##0.00_ ;_ * \-#,##0.00_ ;_ * &quot;-&quot;????_ ;_ @_ "/>
    <numFmt numFmtId="167" formatCode="#,##0\ _€"/>
    <numFmt numFmtId="168" formatCode="#.##0.00"/>
    <numFmt numFmtId="169" formatCode="&quot;$&quot;\ #,##0.00"/>
  </numFmts>
  <fonts count="24" x14ac:knownFonts="1">
    <font>
      <sz val="11"/>
      <color theme="1"/>
      <name val="Calibri"/>
      <family val="2"/>
      <scheme val="minor"/>
    </font>
    <font>
      <b/>
      <i/>
      <sz val="12"/>
      <name val="Arial"/>
      <family val="2"/>
    </font>
    <font>
      <b/>
      <i/>
      <sz val="10"/>
      <name val="Arial"/>
      <family val="2"/>
    </font>
    <font>
      <i/>
      <sz val="10"/>
      <name val="Arial"/>
      <family val="2"/>
    </font>
    <font>
      <b/>
      <sz val="10"/>
      <name val="Arial"/>
      <family val="2"/>
    </font>
    <font>
      <b/>
      <sz val="11"/>
      <color theme="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sz val="8"/>
      <name val="Arial"/>
      <family val="2"/>
    </font>
    <font>
      <b/>
      <sz val="12"/>
      <name val="Arial"/>
      <family val="2"/>
    </font>
    <font>
      <b/>
      <sz val="9"/>
      <name val="Arial"/>
      <family val="2"/>
    </font>
    <font>
      <sz val="12"/>
      <name val="Arial"/>
      <family val="2"/>
    </font>
    <font>
      <b/>
      <sz val="8"/>
      <name val="Arial"/>
      <family val="2"/>
    </font>
    <font>
      <sz val="12"/>
      <color theme="1"/>
      <name val="Arial"/>
      <family val="2"/>
    </font>
    <font>
      <sz val="11"/>
      <color theme="1"/>
      <name val="Arial"/>
      <family val="2"/>
    </font>
    <font>
      <sz val="10"/>
      <name val="Arial"/>
      <family val="2"/>
    </font>
    <font>
      <sz val="8"/>
      <color theme="1"/>
      <name val="Calibri"/>
      <family val="2"/>
      <scheme val="minor"/>
    </font>
    <font>
      <sz val="12"/>
      <color theme="1"/>
      <name val="Calibri"/>
      <family val="2"/>
      <scheme val="minor"/>
    </font>
    <font>
      <b/>
      <sz val="12"/>
      <color theme="1"/>
      <name val="Calibri"/>
      <family val="2"/>
      <scheme val="minor"/>
    </font>
    <font>
      <u/>
      <sz val="11"/>
      <color theme="1"/>
      <name val="Calibri"/>
      <family val="2"/>
      <scheme val="minor"/>
    </font>
    <font>
      <b/>
      <i/>
      <sz val="8"/>
      <name val="Arial"/>
      <family val="2"/>
    </font>
    <font>
      <b/>
      <i/>
      <u/>
      <sz val="8"/>
      <name val="Arial"/>
      <family val="2"/>
    </font>
    <font>
      <i/>
      <sz val="8"/>
      <name val="Arial"/>
      <family val="2"/>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ck">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auto="1"/>
      </top>
      <bottom style="double">
        <color auto="1"/>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76">
    <xf numFmtId="0" fontId="0" fillId="0" borderId="0" xfId="0"/>
    <xf numFmtId="0" fontId="5" fillId="0" borderId="0" xfId="0" applyFont="1"/>
    <xf numFmtId="0" fontId="0" fillId="0" borderId="0" xfId="0" applyFont="1"/>
    <xf numFmtId="3" fontId="5" fillId="0" borderId="0" xfId="0" applyNumberFormat="1" applyFont="1"/>
    <xf numFmtId="0" fontId="0" fillId="0" borderId="0" xfId="0" applyAlignment="1">
      <alignment horizontal="left"/>
    </xf>
    <xf numFmtId="0" fontId="2" fillId="0" borderId="0" xfId="0" applyFont="1"/>
    <xf numFmtId="164" fontId="2" fillId="0" borderId="0" xfId="0" applyNumberFormat="1" applyFont="1"/>
    <xf numFmtId="0" fontId="3" fillId="0" borderId="0" xfId="0" applyFont="1" applyAlignment="1">
      <alignment horizontal="right"/>
    </xf>
    <xf numFmtId="0" fontId="3" fillId="0" borderId="0" xfId="0" applyFont="1"/>
    <xf numFmtId="164" fontId="3" fillId="0" borderId="0" xfId="0" applyNumberFormat="1" applyFont="1"/>
    <xf numFmtId="164" fontId="0" fillId="0" borderId="0" xfId="0" applyNumberFormat="1"/>
    <xf numFmtId="0" fontId="4" fillId="0" borderId="0" xfId="0" applyFont="1"/>
    <xf numFmtId="0" fontId="5" fillId="0" borderId="0" xfId="0" applyFont="1" applyBorder="1"/>
    <xf numFmtId="3" fontId="5" fillId="0" borderId="0" xfId="0" applyNumberFormat="1" applyFont="1" applyBorder="1"/>
    <xf numFmtId="0" fontId="0" fillId="0" borderId="0" xfId="0" applyBorder="1"/>
    <xf numFmtId="3" fontId="0" fillId="0" borderId="0" xfId="0" applyNumberFormat="1" applyBorder="1"/>
    <xf numFmtId="0" fontId="0" fillId="0" borderId="0" xfId="0" applyFont="1" applyBorder="1"/>
    <xf numFmtId="3" fontId="0" fillId="0" borderId="0" xfId="0" applyNumberFormat="1" applyFont="1" applyBorder="1"/>
    <xf numFmtId="0" fontId="5" fillId="0" borderId="0" xfId="0" applyFont="1" applyFill="1" applyBorder="1"/>
    <xf numFmtId="0" fontId="5" fillId="0" borderId="0" xfId="0" applyFont="1" applyAlignment="1">
      <alignment horizontal="left"/>
    </xf>
    <xf numFmtId="0" fontId="0" fillId="0" borderId="0" xfId="0" applyFill="1" applyBorder="1"/>
    <xf numFmtId="0" fontId="6" fillId="0" borderId="0" xfId="0" applyFont="1"/>
    <xf numFmtId="10" fontId="5" fillId="0" borderId="0" xfId="0" applyNumberFormat="1" applyFont="1"/>
    <xf numFmtId="3" fontId="0" fillId="0" borderId="0" xfId="0" applyNumberFormat="1"/>
    <xf numFmtId="3" fontId="0" fillId="0" borderId="0" xfId="0" applyNumberFormat="1" applyFont="1"/>
    <xf numFmtId="0" fontId="9" fillId="0" borderId="0" xfId="0" applyFont="1"/>
    <xf numFmtId="0" fontId="10" fillId="0" borderId="0" xfId="0" applyFont="1" applyBorder="1" applyAlignment="1">
      <alignment horizontal="center"/>
    </xf>
    <xf numFmtId="0" fontId="11" fillId="0" borderId="0" xfId="0" applyFont="1" applyBorder="1" applyAlignment="1">
      <alignment horizontal="center"/>
    </xf>
    <xf numFmtId="0" fontId="10" fillId="0" borderId="0" xfId="0" applyFont="1" applyBorder="1"/>
    <xf numFmtId="3" fontId="12" fillId="0" borderId="0" xfId="0" applyNumberFormat="1" applyFont="1" applyBorder="1"/>
    <xf numFmtId="10" fontId="12" fillId="0" borderId="0" xfId="2" applyNumberFormat="1" applyFont="1" applyBorder="1" applyAlignment="1">
      <alignment horizontal="center"/>
    </xf>
    <xf numFmtId="0" fontId="12" fillId="0" borderId="0" xfId="0" applyFont="1" applyBorder="1"/>
    <xf numFmtId="0" fontId="13" fillId="0" borderId="0" xfId="0" applyFont="1"/>
    <xf numFmtId="3" fontId="10" fillId="0" borderId="0" xfId="0" applyNumberFormat="1" applyFont="1" applyBorder="1"/>
    <xf numFmtId="3" fontId="10" fillId="0" borderId="0" xfId="0" applyNumberFormat="1" applyFont="1" applyBorder="1" applyProtection="1">
      <protection locked="0"/>
    </xf>
    <xf numFmtId="10" fontId="10" fillId="0" borderId="0" xfId="2" applyNumberFormat="1" applyFont="1" applyBorder="1" applyAlignment="1">
      <alignment horizontal="center"/>
    </xf>
    <xf numFmtId="9" fontId="10" fillId="0" borderId="0" xfId="2" applyNumberFormat="1" applyFont="1" applyBorder="1" applyAlignment="1">
      <alignment horizontal="center"/>
    </xf>
    <xf numFmtId="3" fontId="14" fillId="0" borderId="0" xfId="0" applyNumberFormat="1" applyFont="1"/>
    <xf numFmtId="9" fontId="12" fillId="0" borderId="0" xfId="2" applyNumberFormat="1" applyFont="1" applyBorder="1" applyAlignment="1">
      <alignment horizontal="center"/>
    </xf>
    <xf numFmtId="0" fontId="12" fillId="0" borderId="0" xfId="0" applyFont="1" applyFill="1" applyBorder="1"/>
    <xf numFmtId="3" fontId="12" fillId="0" borderId="0" xfId="0" applyNumberFormat="1" applyFont="1" applyFill="1" applyBorder="1"/>
    <xf numFmtId="3" fontId="15" fillId="0" borderId="0" xfId="0" applyNumberFormat="1" applyFont="1"/>
    <xf numFmtId="3" fontId="12" fillId="0" borderId="0" xfId="0" applyNumberFormat="1" applyFont="1" applyBorder="1" applyProtection="1">
      <protection locked="0"/>
    </xf>
    <xf numFmtId="0" fontId="12" fillId="0" borderId="0" xfId="0" applyFont="1"/>
    <xf numFmtId="3" fontId="12" fillId="0" borderId="0" xfId="0" applyNumberFormat="1" applyFont="1"/>
    <xf numFmtId="0" fontId="4" fillId="0" borderId="1" xfId="0" applyFont="1" applyBorder="1"/>
    <xf numFmtId="0" fontId="4" fillId="0" borderId="2" xfId="0" applyFont="1" applyBorder="1"/>
    <xf numFmtId="3" fontId="0" fillId="0" borderId="2" xfId="0" applyNumberFormat="1" applyBorder="1"/>
    <xf numFmtId="0" fontId="0" fillId="0" borderId="2" xfId="0" applyBorder="1"/>
    <xf numFmtId="0" fontId="0" fillId="0" borderId="3" xfId="0" applyBorder="1"/>
    <xf numFmtId="0" fontId="0" fillId="0" borderId="4" xfId="0" applyBorder="1"/>
    <xf numFmtId="0" fontId="0" fillId="0" borderId="5" xfId="0" applyBorder="1"/>
    <xf numFmtId="0" fontId="4" fillId="0" borderId="6" xfId="0" applyFont="1" applyBorder="1"/>
    <xf numFmtId="0" fontId="4" fillId="0" borderId="0" xfId="0" applyFont="1" applyBorder="1"/>
    <xf numFmtId="0" fontId="4" fillId="0" borderId="4" xfId="0" applyFont="1" applyBorder="1"/>
    <xf numFmtId="3" fontId="4" fillId="0" borderId="0" xfId="0" applyNumberFormat="1" applyFont="1" applyBorder="1" applyAlignment="1">
      <alignment horizontal="center"/>
    </xf>
    <xf numFmtId="0" fontId="4" fillId="0" borderId="0" xfId="0" applyFont="1" applyBorder="1" applyAlignment="1">
      <alignment horizontal="center"/>
    </xf>
    <xf numFmtId="0" fontId="0" fillId="0" borderId="4" xfId="0" applyFill="1" applyBorder="1"/>
    <xf numFmtId="0" fontId="16" fillId="0" borderId="4" xfId="0" applyFont="1" applyFill="1" applyBorder="1"/>
    <xf numFmtId="0" fontId="16" fillId="0" borderId="0" xfId="0" applyFont="1" applyFill="1" applyBorder="1"/>
    <xf numFmtId="0" fontId="16" fillId="0" borderId="4" xfId="0" applyFont="1" applyBorder="1"/>
    <xf numFmtId="0" fontId="16" fillId="0" borderId="0" xfId="0" applyFont="1" applyBorder="1"/>
    <xf numFmtId="0" fontId="4" fillId="0" borderId="4" xfId="0" applyFont="1" applyFill="1" applyBorder="1"/>
    <xf numFmtId="0" fontId="4" fillId="0" borderId="0" xfId="0" applyFont="1" applyFill="1" applyBorder="1"/>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9" xfId="0" applyFont="1" applyBorder="1" applyAlignment="1">
      <alignment horizontal="center"/>
    </xf>
    <xf numFmtId="0" fontId="4" fillId="0" borderId="9" xfId="0" applyFont="1" applyBorder="1"/>
    <xf numFmtId="0" fontId="4" fillId="0" borderId="10" xfId="0" applyFont="1" applyBorder="1" applyAlignment="1">
      <alignment horizontal="center"/>
    </xf>
    <xf numFmtId="0" fontId="16" fillId="0" borderId="1" xfId="0" applyFont="1" applyFill="1" applyBorder="1"/>
    <xf numFmtId="0" fontId="16" fillId="0" borderId="2" xfId="0" applyFont="1" applyFill="1" applyBorder="1"/>
    <xf numFmtId="9" fontId="0" fillId="0" borderId="2" xfId="0" applyNumberFormat="1" applyBorder="1"/>
    <xf numFmtId="165" fontId="8" fillId="0" borderId="2" xfId="2" applyNumberFormat="1" applyFont="1" applyBorder="1"/>
    <xf numFmtId="2" fontId="8" fillId="0" borderId="3" xfId="2" applyNumberFormat="1" applyFont="1" applyBorder="1"/>
    <xf numFmtId="9" fontId="0" fillId="0" borderId="0" xfId="0" applyNumberFormat="1" applyBorder="1"/>
    <xf numFmtId="165" fontId="8" fillId="0" borderId="0" xfId="2" applyNumberFormat="1" applyFont="1" applyBorder="1"/>
    <xf numFmtId="43" fontId="8" fillId="0" borderId="5" xfId="1" applyNumberFormat="1" applyFont="1" applyBorder="1"/>
    <xf numFmtId="0" fontId="4" fillId="0" borderId="8" xfId="0" applyFont="1" applyFill="1" applyBorder="1"/>
    <xf numFmtId="0" fontId="4" fillId="0" borderId="9" xfId="0" applyFont="1" applyFill="1" applyBorder="1"/>
    <xf numFmtId="0" fontId="0" fillId="0" borderId="9" xfId="0" applyBorder="1"/>
    <xf numFmtId="166" fontId="4" fillId="0" borderId="10" xfId="0" applyNumberFormat="1" applyFont="1" applyBorder="1"/>
    <xf numFmtId="9" fontId="0" fillId="0" borderId="5" xfId="0" applyNumberFormat="1" applyBorder="1"/>
    <xf numFmtId="43" fontId="8" fillId="0" borderId="5" xfId="1" applyNumberFormat="1" applyFont="1" applyBorder="1" applyAlignment="1"/>
    <xf numFmtId="4" fontId="4" fillId="0" borderId="10" xfId="0" applyNumberFormat="1" applyFont="1" applyBorder="1"/>
    <xf numFmtId="0" fontId="4" fillId="0" borderId="1" xfId="0" applyFont="1" applyFill="1" applyBorder="1"/>
    <xf numFmtId="3" fontId="4" fillId="0" borderId="6" xfId="0" applyNumberFormat="1" applyFont="1" applyBorder="1"/>
    <xf numFmtId="0" fontId="4" fillId="0" borderId="11" xfId="0" applyFont="1" applyFill="1" applyBorder="1"/>
    <xf numFmtId="3" fontId="4" fillId="0" borderId="12" xfId="0" applyNumberFormat="1" applyFont="1" applyBorder="1"/>
    <xf numFmtId="0" fontId="16" fillId="0" borderId="11" xfId="0" applyFont="1" applyFill="1" applyBorder="1"/>
    <xf numFmtId="0" fontId="16" fillId="0" borderId="7" xfId="0" applyFont="1" applyFill="1" applyBorder="1"/>
    <xf numFmtId="0" fontId="0" fillId="0" borderId="7" xfId="0" applyBorder="1"/>
    <xf numFmtId="9" fontId="0" fillId="0" borderId="13" xfId="0" applyNumberFormat="1" applyBorder="1"/>
    <xf numFmtId="9" fontId="0" fillId="0" borderId="0" xfId="0" applyNumberFormat="1"/>
    <xf numFmtId="0" fontId="16" fillId="0" borderId="14" xfId="0" applyFont="1" applyBorder="1"/>
    <xf numFmtId="0" fontId="16" fillId="0" borderId="0" xfId="0" applyFont="1"/>
    <xf numFmtId="3" fontId="4" fillId="0" borderId="0" xfId="0" applyNumberFormat="1" applyFont="1" applyAlignment="1">
      <alignment horizontal="center"/>
    </xf>
    <xf numFmtId="3" fontId="16" fillId="0" borderId="14" xfId="0" applyNumberFormat="1" applyFont="1" applyBorder="1"/>
    <xf numFmtId="9" fontId="4" fillId="0" borderId="0" xfId="2" applyFont="1" applyAlignment="1">
      <alignment horizontal="center"/>
    </xf>
    <xf numFmtId="3" fontId="16" fillId="0" borderId="0" xfId="0" applyNumberFormat="1" applyFont="1"/>
    <xf numFmtId="3" fontId="0" fillId="0" borderId="7" xfId="0" applyNumberFormat="1" applyBorder="1"/>
    <xf numFmtId="10" fontId="4" fillId="0" borderId="0" xfId="2" applyNumberFormat="1" applyFont="1"/>
    <xf numFmtId="3" fontId="16" fillId="0" borderId="7" xfId="0" applyNumberFormat="1" applyFont="1" applyBorder="1"/>
    <xf numFmtId="2" fontId="16" fillId="0" borderId="0" xfId="0" applyNumberFormat="1" applyFont="1"/>
    <xf numFmtId="0" fontId="9" fillId="0" borderId="0" xfId="0" applyFont="1" applyBorder="1"/>
    <xf numFmtId="43" fontId="9" fillId="0" borderId="0" xfId="0" applyNumberFormat="1" applyFont="1"/>
    <xf numFmtId="10" fontId="9" fillId="0" borderId="0" xfId="0" applyNumberFormat="1" applyFont="1"/>
    <xf numFmtId="10" fontId="0" fillId="0" borderId="0" xfId="0" applyNumberFormat="1"/>
    <xf numFmtId="0" fontId="5" fillId="0" borderId="0" xfId="0" applyFont="1" applyAlignment="1">
      <alignment horizontal="center"/>
    </xf>
    <xf numFmtId="0" fontId="0" fillId="0" borderId="16" xfId="0" applyBorder="1" applyAlignment="1">
      <alignment horizontal="center"/>
    </xf>
    <xf numFmtId="0" fontId="0" fillId="0" borderId="16" xfId="0" applyBorder="1"/>
    <xf numFmtId="0" fontId="0" fillId="0" borderId="16" xfId="0" applyBorder="1" applyAlignment="1">
      <alignment wrapText="1"/>
    </xf>
    <xf numFmtId="0" fontId="0" fillId="0" borderId="16" xfId="0" applyBorder="1" applyAlignment="1">
      <alignment horizontal="left" wrapText="1"/>
    </xf>
    <xf numFmtId="0" fontId="0" fillId="0" borderId="16" xfId="0" applyBorder="1" applyAlignment="1">
      <alignment vertical="center" wrapText="1"/>
    </xf>
    <xf numFmtId="0" fontId="16" fillId="0" borderId="16" xfId="0" applyFont="1" applyBorder="1" applyAlignment="1">
      <alignment vertical="center" wrapText="1"/>
    </xf>
    <xf numFmtId="0" fontId="0" fillId="0" borderId="16" xfId="0" applyBorder="1" applyAlignment="1">
      <alignment horizontal="center" wrapText="1"/>
    </xf>
    <xf numFmtId="0" fontId="0" fillId="0" borderId="0" xfId="0" applyAlignment="1">
      <alignment wrapText="1"/>
    </xf>
    <xf numFmtId="0" fontId="17" fillId="0" borderId="16" xfId="0" applyFont="1" applyBorder="1" applyAlignment="1">
      <alignment vertical="center" wrapText="1"/>
    </xf>
    <xf numFmtId="43" fontId="0" fillId="0" borderId="0" xfId="0" applyNumberFormat="1"/>
    <xf numFmtId="4" fontId="9" fillId="0" borderId="0" xfId="0" applyNumberFormat="1" applyFont="1"/>
    <xf numFmtId="4" fontId="0" fillId="0" borderId="0" xfId="0" applyNumberFormat="1"/>
    <xf numFmtId="0" fontId="6" fillId="0" borderId="0" xfId="0" applyFont="1" applyAlignment="1">
      <alignment horizontal="center"/>
    </xf>
    <xf numFmtId="0" fontId="5" fillId="0" borderId="0"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5" fillId="0" borderId="0" xfId="0" applyFont="1" applyAlignment="1">
      <alignment horizontal="center"/>
    </xf>
    <xf numFmtId="0" fontId="18" fillId="0" borderId="0" xfId="0" applyFont="1"/>
    <xf numFmtId="0" fontId="19" fillId="0" borderId="0" xfId="0" applyFont="1"/>
    <xf numFmtId="3" fontId="18" fillId="0" borderId="0" xfId="0" applyNumberFormat="1" applyFont="1"/>
    <xf numFmtId="10" fontId="18" fillId="0" borderId="0" xfId="0" applyNumberFormat="1" applyFont="1"/>
    <xf numFmtId="3" fontId="19" fillId="0" borderId="0" xfId="0" applyNumberFormat="1" applyFont="1"/>
    <xf numFmtId="10" fontId="19" fillId="0" borderId="0" xfId="0" applyNumberFormat="1" applyFont="1"/>
    <xf numFmtId="0" fontId="9" fillId="0" borderId="0" xfId="0" applyFont="1" applyAlignment="1">
      <alignment horizontal="right"/>
    </xf>
    <xf numFmtId="0" fontId="5" fillId="0" borderId="0" xfId="0" applyFont="1" applyAlignment="1">
      <alignment horizontal="center"/>
    </xf>
    <xf numFmtId="2" fontId="9" fillId="0" borderId="0" xfId="0" applyNumberFormat="1" applyFont="1"/>
    <xf numFmtId="168" fontId="0" fillId="0" borderId="0" xfId="0" applyNumberFormat="1"/>
    <xf numFmtId="0" fontId="5"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5" fillId="0" borderId="0" xfId="0" applyFont="1" applyAlignment="1">
      <alignment horizontal="center"/>
    </xf>
    <xf numFmtId="3" fontId="5" fillId="0" borderId="14" xfId="0" applyNumberFormat="1" applyFont="1" applyBorder="1"/>
    <xf numFmtId="3" fontId="5" fillId="0" borderId="17" xfId="0" applyNumberFormat="1" applyFont="1" applyBorder="1"/>
    <xf numFmtId="0" fontId="0" fillId="0" borderId="0" xfId="0" applyFont="1" applyBorder="1" applyAlignment="1">
      <alignment horizontal="center"/>
    </xf>
    <xf numFmtId="3" fontId="5" fillId="0" borderId="7" xfId="0" applyNumberFormat="1" applyFont="1" applyBorder="1"/>
    <xf numFmtId="3" fontId="20" fillId="0" borderId="0" xfId="0" applyNumberFormat="1" applyFont="1" applyBorder="1"/>
    <xf numFmtId="0" fontId="0" fillId="0" borderId="0" xfId="0" applyAlignment="1"/>
    <xf numFmtId="0" fontId="21" fillId="0" borderId="0" xfId="0" applyFont="1" applyAlignment="1">
      <alignment horizontal="center"/>
    </xf>
    <xf numFmtId="0" fontId="21" fillId="0" borderId="0" xfId="0" applyFont="1"/>
    <xf numFmtId="0" fontId="21" fillId="0" borderId="0" xfId="0" applyFont="1" applyAlignment="1">
      <alignment horizontal="right"/>
    </xf>
    <xf numFmtId="164" fontId="21" fillId="0" borderId="0" xfId="0" applyNumberFormat="1" applyFont="1"/>
    <xf numFmtId="164" fontId="22" fillId="0" borderId="0" xfId="0" applyNumberFormat="1" applyFont="1"/>
    <xf numFmtId="0" fontId="23" fillId="0" borderId="0" xfId="0" applyFont="1" applyAlignment="1">
      <alignment horizontal="center"/>
    </xf>
    <xf numFmtId="0" fontId="23" fillId="0" borderId="0" xfId="0" applyFont="1"/>
    <xf numFmtId="164" fontId="23" fillId="0" borderId="0" xfId="0" applyNumberFormat="1" applyFont="1"/>
    <xf numFmtId="0" fontId="9" fillId="0" borderId="0" xfId="0" applyFont="1" applyAlignment="1">
      <alignment horizontal="center"/>
    </xf>
    <xf numFmtId="164" fontId="9" fillId="0" borderId="0" xfId="0" applyNumberFormat="1" applyFont="1"/>
    <xf numFmtId="164" fontId="21" fillId="0" borderId="15" xfId="0" applyNumberFormat="1" applyFont="1" applyBorder="1"/>
    <xf numFmtId="169" fontId="0" fillId="0" borderId="0" xfId="0" applyNumberFormat="1"/>
    <xf numFmtId="169" fontId="5" fillId="0" borderId="0" xfId="0" applyNumberFormat="1" applyFont="1"/>
    <xf numFmtId="4" fontId="5" fillId="0" borderId="0" xfId="0" applyNumberFormat="1" applyFont="1"/>
    <xf numFmtId="0" fontId="7" fillId="0" borderId="0" xfId="0" applyFont="1" applyAlignment="1">
      <alignment horizontal="center"/>
    </xf>
    <xf numFmtId="0" fontId="6"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7"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4" fillId="0" borderId="2" xfId="0" applyFont="1" applyFill="1" applyBorder="1" applyAlignment="1">
      <alignment horizontal="center"/>
    </xf>
    <xf numFmtId="0" fontId="16" fillId="0" borderId="0" xfId="0" applyFont="1" applyAlignment="1">
      <alignment horizontal="justify" vertical="justify"/>
    </xf>
    <xf numFmtId="167" fontId="16" fillId="0" borderId="0" xfId="0" applyNumberFormat="1" applyFont="1" applyAlignment="1">
      <alignment horizontal="justify" vertical="justify" wrapText="1"/>
    </xf>
    <xf numFmtId="0" fontId="16" fillId="0" borderId="0" xfId="0" applyFont="1" applyAlignment="1">
      <alignment horizontal="left" vertical="center" wrapText="1"/>
    </xf>
    <xf numFmtId="0" fontId="4"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ANALISIS INGRESOS-GASTOS</a:t>
            </a:r>
          </a:p>
        </c:rich>
      </c:tx>
      <c:overlay val="0"/>
      <c:spPr>
        <a:noFill/>
        <a:ln w="25400">
          <a:noFill/>
        </a:ln>
      </c:spPr>
    </c:title>
    <c:autoTitleDeleted val="0"/>
    <c:plotArea>
      <c:layout/>
      <c:barChart>
        <c:barDir val="col"/>
        <c:grouping val="clustered"/>
        <c:varyColors val="0"/>
        <c:ser>
          <c:idx val="0"/>
          <c:order val="0"/>
          <c:tx>
            <c:strRef>
              <c:f>[1]Municipios!$A$26</c:f>
              <c:strCache>
                <c:ptCount val="1"/>
                <c:pt idx="0">
                  <c:v>INGRESOS OPERACIONALES</c:v>
                </c:pt>
              </c:strCache>
            </c:strRef>
          </c:tx>
          <c:spPr>
            <a:solidFill>
              <a:srgbClr val="9999FF"/>
            </a:solidFill>
            <a:ln w="12700">
              <a:solidFill>
                <a:srgbClr val="000000"/>
              </a:solidFill>
              <a:prstDash val="solid"/>
            </a:ln>
          </c:spPr>
          <c:invertIfNegative val="0"/>
          <c:cat>
            <c:strRef>
              <c:f>[1]Municipios!$B$25:$C$25</c:f>
              <c:strCache>
                <c:ptCount val="2"/>
                <c:pt idx="0">
                  <c:v> </c:v>
                </c:pt>
                <c:pt idx="1">
                  <c:v> </c:v>
                </c:pt>
              </c:strCache>
            </c:strRef>
          </c:cat>
          <c:val>
            <c:numRef>
              <c:f>[1]Municipios!$B$26:$C$26</c:f>
              <c:numCache>
                <c:formatCode>General</c:formatCode>
                <c:ptCount val="2"/>
                <c:pt idx="0">
                  <c:v>3253883</c:v>
                </c:pt>
                <c:pt idx="1">
                  <c:v>2112666</c:v>
                </c:pt>
              </c:numCache>
            </c:numRef>
          </c:val>
        </c:ser>
        <c:ser>
          <c:idx val="1"/>
          <c:order val="1"/>
          <c:tx>
            <c:strRef>
              <c:f>[1]Municipios!$A$27</c:f>
              <c:strCache>
                <c:ptCount val="1"/>
                <c:pt idx="0">
                  <c:v>GASTOS</c:v>
                </c:pt>
              </c:strCache>
            </c:strRef>
          </c:tx>
          <c:spPr>
            <a:solidFill>
              <a:srgbClr val="993366"/>
            </a:solidFill>
            <a:ln w="12700">
              <a:solidFill>
                <a:srgbClr val="000000"/>
              </a:solidFill>
              <a:prstDash val="solid"/>
            </a:ln>
          </c:spPr>
          <c:invertIfNegative val="0"/>
          <c:cat>
            <c:strRef>
              <c:f>[1]Municipios!$B$25:$C$25</c:f>
              <c:strCache>
                <c:ptCount val="2"/>
                <c:pt idx="0">
                  <c:v> </c:v>
                </c:pt>
                <c:pt idx="1">
                  <c:v> </c:v>
                </c:pt>
              </c:strCache>
            </c:strRef>
          </c:cat>
          <c:val>
            <c:numRef>
              <c:f>[1]Municipios!$B$27:$C$27</c:f>
              <c:numCache>
                <c:formatCode>General</c:formatCode>
                <c:ptCount val="2"/>
              </c:numCache>
            </c:numRef>
          </c:val>
        </c:ser>
        <c:ser>
          <c:idx val="2"/>
          <c:order val="2"/>
          <c:tx>
            <c:strRef>
              <c:f>[1]Municipios!$A$28</c:f>
              <c:strCache>
                <c:ptCount val="1"/>
                <c:pt idx="0">
                  <c:v>GASTOS OPERACIONALES</c:v>
                </c:pt>
              </c:strCache>
            </c:strRef>
          </c:tx>
          <c:spPr>
            <a:solidFill>
              <a:srgbClr val="FFFFCC"/>
            </a:solidFill>
            <a:ln w="12700">
              <a:solidFill>
                <a:srgbClr val="000000"/>
              </a:solidFill>
              <a:prstDash val="solid"/>
            </a:ln>
          </c:spPr>
          <c:invertIfNegative val="0"/>
          <c:cat>
            <c:strRef>
              <c:f>[1]Municipios!$B$25:$C$25</c:f>
              <c:strCache>
                <c:ptCount val="2"/>
                <c:pt idx="0">
                  <c:v> </c:v>
                </c:pt>
                <c:pt idx="1">
                  <c:v> </c:v>
                </c:pt>
              </c:strCache>
            </c:strRef>
          </c:cat>
          <c:val>
            <c:numRef>
              <c:f>[1]Municipios!$B$28:$C$28</c:f>
              <c:numCache>
                <c:formatCode>General</c:formatCode>
                <c:ptCount val="2"/>
                <c:pt idx="0">
                  <c:v>3431994</c:v>
                </c:pt>
                <c:pt idx="1">
                  <c:v>1174476</c:v>
                </c:pt>
              </c:numCache>
            </c:numRef>
          </c:val>
        </c:ser>
        <c:dLbls>
          <c:showLegendKey val="0"/>
          <c:showVal val="0"/>
          <c:showCatName val="0"/>
          <c:showSerName val="0"/>
          <c:showPercent val="0"/>
          <c:showBubbleSize val="0"/>
        </c:dLbls>
        <c:gapWidth val="150"/>
        <c:axId val="74249344"/>
        <c:axId val="74250880"/>
      </c:barChart>
      <c:catAx>
        <c:axId val="74249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74250880"/>
        <c:crosses val="autoZero"/>
        <c:auto val="1"/>
        <c:lblAlgn val="ctr"/>
        <c:lblOffset val="100"/>
        <c:tickLblSkip val="1"/>
        <c:tickMarkSkip val="1"/>
        <c:noMultiLvlLbl val="0"/>
      </c:catAx>
      <c:valAx>
        <c:axId val="742508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74249344"/>
        <c:crosses val="autoZero"/>
        <c:crossBetween val="between"/>
      </c:valAx>
      <c:spPr>
        <a:solidFill>
          <a:srgbClr val="C0C0C0"/>
        </a:solidFill>
        <a:ln w="12700">
          <a:solidFill>
            <a:srgbClr val="808080"/>
          </a:solidFill>
          <a:prstDash val="solid"/>
        </a:ln>
      </c:spPr>
    </c:plotArea>
    <c:legend>
      <c:legendPos val="r"/>
      <c:legendEntry>
        <c:idx val="1"/>
        <c:delete val="1"/>
      </c:legendEntry>
      <c:overlay val="0"/>
      <c:spPr>
        <a:solidFill>
          <a:srgbClr val="FFFFFF"/>
        </a:solidFill>
        <a:ln w="3175">
          <a:solidFill>
            <a:srgbClr val="000000"/>
          </a:solidFill>
          <a:prstDash val="solid"/>
        </a:ln>
      </c:spPr>
      <c:txPr>
        <a:bodyPr/>
        <a:lstStyle/>
        <a:p>
          <a:pPr>
            <a:defRPr lang="es-ES" sz="32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ANALISIS INGRESOS-GASTOS</a:t>
            </a:r>
          </a:p>
        </c:rich>
      </c:tx>
      <c:overlay val="0"/>
      <c:spPr>
        <a:noFill/>
        <a:ln w="25400">
          <a:noFill/>
        </a:ln>
      </c:spPr>
    </c:title>
    <c:autoTitleDeleted val="0"/>
    <c:plotArea>
      <c:layout/>
      <c:barChart>
        <c:barDir val="col"/>
        <c:grouping val="clustered"/>
        <c:varyColors val="0"/>
        <c:ser>
          <c:idx val="0"/>
          <c:order val="0"/>
          <c:tx>
            <c:strRef>
              <c:f>[2]Municipios!$A$26</c:f>
              <c:strCache>
                <c:ptCount val="1"/>
                <c:pt idx="0">
                  <c:v>INGRESOS OPERACIONALES</c:v>
                </c:pt>
              </c:strCache>
            </c:strRef>
          </c:tx>
          <c:spPr>
            <a:solidFill>
              <a:srgbClr val="9999FF"/>
            </a:solidFill>
            <a:ln w="12700">
              <a:solidFill>
                <a:srgbClr val="000000"/>
              </a:solidFill>
              <a:prstDash val="solid"/>
            </a:ln>
          </c:spPr>
          <c:invertIfNegative val="0"/>
          <c:cat>
            <c:strRef>
              <c:f>[2]Municipios!$B$25:$C$25</c:f>
              <c:strCache>
                <c:ptCount val="2"/>
                <c:pt idx="0">
                  <c:v> </c:v>
                </c:pt>
                <c:pt idx="1">
                  <c:v> </c:v>
                </c:pt>
              </c:strCache>
            </c:strRef>
          </c:cat>
          <c:val>
            <c:numRef>
              <c:f>[2]Municipios!$B$26:$C$26</c:f>
              <c:numCache>
                <c:formatCode>General</c:formatCode>
                <c:ptCount val="2"/>
                <c:pt idx="0">
                  <c:v>3253883</c:v>
                </c:pt>
                <c:pt idx="1">
                  <c:v>2112666</c:v>
                </c:pt>
              </c:numCache>
            </c:numRef>
          </c:val>
        </c:ser>
        <c:ser>
          <c:idx val="1"/>
          <c:order val="1"/>
          <c:tx>
            <c:strRef>
              <c:f>[2]Municipios!$A$27</c:f>
              <c:strCache>
                <c:ptCount val="1"/>
                <c:pt idx="0">
                  <c:v>GASTOS</c:v>
                </c:pt>
              </c:strCache>
            </c:strRef>
          </c:tx>
          <c:spPr>
            <a:solidFill>
              <a:srgbClr val="993366"/>
            </a:solidFill>
            <a:ln w="12700">
              <a:solidFill>
                <a:srgbClr val="000000"/>
              </a:solidFill>
              <a:prstDash val="solid"/>
            </a:ln>
          </c:spPr>
          <c:invertIfNegative val="0"/>
          <c:cat>
            <c:strRef>
              <c:f>[2]Municipios!$B$25:$C$25</c:f>
              <c:strCache>
                <c:ptCount val="2"/>
                <c:pt idx="0">
                  <c:v> </c:v>
                </c:pt>
                <c:pt idx="1">
                  <c:v> </c:v>
                </c:pt>
              </c:strCache>
            </c:strRef>
          </c:cat>
          <c:val>
            <c:numRef>
              <c:f>[2]Municipios!$B$27:$C$27</c:f>
              <c:numCache>
                <c:formatCode>General</c:formatCode>
                <c:ptCount val="2"/>
              </c:numCache>
            </c:numRef>
          </c:val>
        </c:ser>
        <c:ser>
          <c:idx val="2"/>
          <c:order val="2"/>
          <c:tx>
            <c:strRef>
              <c:f>[2]Municipios!$A$28</c:f>
              <c:strCache>
                <c:ptCount val="1"/>
                <c:pt idx="0">
                  <c:v>GASTOS OPERACIONALES</c:v>
                </c:pt>
              </c:strCache>
            </c:strRef>
          </c:tx>
          <c:spPr>
            <a:solidFill>
              <a:srgbClr val="FFFFCC"/>
            </a:solidFill>
            <a:ln w="12700">
              <a:solidFill>
                <a:srgbClr val="000000"/>
              </a:solidFill>
              <a:prstDash val="solid"/>
            </a:ln>
          </c:spPr>
          <c:invertIfNegative val="0"/>
          <c:cat>
            <c:strRef>
              <c:f>[2]Municipios!$B$25:$C$25</c:f>
              <c:strCache>
                <c:ptCount val="2"/>
                <c:pt idx="0">
                  <c:v> </c:v>
                </c:pt>
                <c:pt idx="1">
                  <c:v> </c:v>
                </c:pt>
              </c:strCache>
            </c:strRef>
          </c:cat>
          <c:val>
            <c:numRef>
              <c:f>[2]Municipios!$B$28:$C$28</c:f>
              <c:numCache>
                <c:formatCode>General</c:formatCode>
                <c:ptCount val="2"/>
                <c:pt idx="0">
                  <c:v>3431994</c:v>
                </c:pt>
                <c:pt idx="1">
                  <c:v>1174476</c:v>
                </c:pt>
              </c:numCache>
            </c:numRef>
          </c:val>
        </c:ser>
        <c:dLbls>
          <c:showLegendKey val="0"/>
          <c:showVal val="0"/>
          <c:showCatName val="0"/>
          <c:showSerName val="0"/>
          <c:showPercent val="0"/>
          <c:showBubbleSize val="0"/>
        </c:dLbls>
        <c:gapWidth val="150"/>
        <c:axId val="87737856"/>
        <c:axId val="87739392"/>
      </c:barChart>
      <c:catAx>
        <c:axId val="87737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87739392"/>
        <c:crosses val="autoZero"/>
        <c:auto val="1"/>
        <c:lblAlgn val="ctr"/>
        <c:lblOffset val="100"/>
        <c:tickLblSkip val="1"/>
        <c:tickMarkSkip val="1"/>
        <c:noMultiLvlLbl val="0"/>
      </c:catAx>
      <c:valAx>
        <c:axId val="877393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87737856"/>
        <c:crosses val="autoZero"/>
        <c:crossBetween val="between"/>
      </c:valAx>
      <c:spPr>
        <a:solidFill>
          <a:srgbClr val="C0C0C0"/>
        </a:solidFill>
        <a:ln w="12700">
          <a:solidFill>
            <a:srgbClr val="808080"/>
          </a:solidFill>
          <a:prstDash val="solid"/>
        </a:ln>
      </c:spPr>
    </c:plotArea>
    <c:legend>
      <c:legendPos val="r"/>
      <c:legendEntry>
        <c:idx val="1"/>
        <c:delete val="1"/>
      </c:legendEntry>
      <c:overlay val="0"/>
      <c:spPr>
        <a:solidFill>
          <a:srgbClr val="FFFFFF"/>
        </a:solidFill>
        <a:ln w="3175">
          <a:solidFill>
            <a:srgbClr val="000000"/>
          </a:solidFill>
          <a:prstDash val="solid"/>
        </a:ln>
      </c:spPr>
      <c:txPr>
        <a:bodyPr/>
        <a:lstStyle/>
        <a:p>
          <a:pPr>
            <a:defRPr lang="es-ES" sz="32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
          <c:y val="0"/>
          <c:w val="7.500000000000001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45"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
          <c:y val="0"/>
          <c:w val="7.500000000000001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45"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
          <c:y val="0"/>
          <c:w val="7.500000000000001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45"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
          <c:y val="0"/>
          <c:w val="7.500000000000001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45"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ANALISIS INGRESOS-GASTOS</a:t>
            </a:r>
          </a:p>
        </c:rich>
      </c:tx>
      <c:overlay val="0"/>
      <c:spPr>
        <a:noFill/>
        <a:ln w="25400">
          <a:noFill/>
        </a:ln>
      </c:spPr>
    </c:title>
    <c:autoTitleDeleted val="0"/>
    <c:plotArea>
      <c:layout/>
      <c:barChart>
        <c:barDir val="col"/>
        <c:grouping val="clustered"/>
        <c:varyColors val="0"/>
        <c:ser>
          <c:idx val="0"/>
          <c:order val="0"/>
          <c:tx>
            <c:strRef>
              <c:f>[1]Municipios!$A$26</c:f>
              <c:strCache>
                <c:ptCount val="1"/>
                <c:pt idx="0">
                  <c:v>INGRESOS OPERACIONALES</c:v>
                </c:pt>
              </c:strCache>
            </c:strRef>
          </c:tx>
          <c:spPr>
            <a:solidFill>
              <a:srgbClr val="9999FF"/>
            </a:solidFill>
            <a:ln w="12700">
              <a:solidFill>
                <a:srgbClr val="000000"/>
              </a:solidFill>
              <a:prstDash val="solid"/>
            </a:ln>
          </c:spPr>
          <c:invertIfNegative val="0"/>
          <c:cat>
            <c:strRef>
              <c:f>[1]Municipios!$B$25:$C$25</c:f>
              <c:strCache>
                <c:ptCount val="2"/>
                <c:pt idx="0">
                  <c:v> </c:v>
                </c:pt>
                <c:pt idx="1">
                  <c:v> </c:v>
                </c:pt>
              </c:strCache>
            </c:strRef>
          </c:cat>
          <c:val>
            <c:numRef>
              <c:f>[1]Municipios!$B$26:$C$26</c:f>
              <c:numCache>
                <c:formatCode>General</c:formatCode>
                <c:ptCount val="2"/>
                <c:pt idx="0">
                  <c:v>3253883</c:v>
                </c:pt>
                <c:pt idx="1">
                  <c:v>2112666</c:v>
                </c:pt>
              </c:numCache>
            </c:numRef>
          </c:val>
        </c:ser>
        <c:ser>
          <c:idx val="1"/>
          <c:order val="1"/>
          <c:tx>
            <c:strRef>
              <c:f>[1]Municipios!$A$27</c:f>
              <c:strCache>
                <c:ptCount val="1"/>
                <c:pt idx="0">
                  <c:v>GASTOS</c:v>
                </c:pt>
              </c:strCache>
            </c:strRef>
          </c:tx>
          <c:spPr>
            <a:solidFill>
              <a:srgbClr val="993366"/>
            </a:solidFill>
            <a:ln w="12700">
              <a:solidFill>
                <a:srgbClr val="000000"/>
              </a:solidFill>
              <a:prstDash val="solid"/>
            </a:ln>
          </c:spPr>
          <c:invertIfNegative val="0"/>
          <c:cat>
            <c:strRef>
              <c:f>[1]Municipios!$B$25:$C$25</c:f>
              <c:strCache>
                <c:ptCount val="2"/>
                <c:pt idx="0">
                  <c:v> </c:v>
                </c:pt>
                <c:pt idx="1">
                  <c:v> </c:v>
                </c:pt>
              </c:strCache>
            </c:strRef>
          </c:cat>
          <c:val>
            <c:numRef>
              <c:f>[1]Municipios!$B$27:$C$27</c:f>
              <c:numCache>
                <c:formatCode>General</c:formatCode>
                <c:ptCount val="2"/>
              </c:numCache>
            </c:numRef>
          </c:val>
        </c:ser>
        <c:ser>
          <c:idx val="2"/>
          <c:order val="2"/>
          <c:tx>
            <c:strRef>
              <c:f>[1]Municipios!$A$28</c:f>
              <c:strCache>
                <c:ptCount val="1"/>
                <c:pt idx="0">
                  <c:v>GASTOS OPERACIONALES</c:v>
                </c:pt>
              </c:strCache>
            </c:strRef>
          </c:tx>
          <c:spPr>
            <a:solidFill>
              <a:srgbClr val="FFFFCC"/>
            </a:solidFill>
            <a:ln w="12700">
              <a:solidFill>
                <a:srgbClr val="000000"/>
              </a:solidFill>
              <a:prstDash val="solid"/>
            </a:ln>
          </c:spPr>
          <c:invertIfNegative val="0"/>
          <c:cat>
            <c:strRef>
              <c:f>[1]Municipios!$B$25:$C$25</c:f>
              <c:strCache>
                <c:ptCount val="2"/>
                <c:pt idx="0">
                  <c:v> </c:v>
                </c:pt>
                <c:pt idx="1">
                  <c:v> </c:v>
                </c:pt>
              </c:strCache>
            </c:strRef>
          </c:cat>
          <c:val>
            <c:numRef>
              <c:f>[1]Municipios!$B$28:$C$28</c:f>
              <c:numCache>
                <c:formatCode>General</c:formatCode>
                <c:ptCount val="2"/>
                <c:pt idx="0">
                  <c:v>3431994</c:v>
                </c:pt>
                <c:pt idx="1">
                  <c:v>1174476</c:v>
                </c:pt>
              </c:numCache>
            </c:numRef>
          </c:val>
        </c:ser>
        <c:dLbls>
          <c:showLegendKey val="0"/>
          <c:showVal val="0"/>
          <c:showCatName val="0"/>
          <c:showSerName val="0"/>
          <c:showPercent val="0"/>
          <c:showBubbleSize val="0"/>
        </c:dLbls>
        <c:gapWidth val="150"/>
        <c:axId val="88373888"/>
        <c:axId val="88392064"/>
      </c:barChart>
      <c:catAx>
        <c:axId val="8837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88392064"/>
        <c:crosses val="autoZero"/>
        <c:auto val="1"/>
        <c:lblAlgn val="ctr"/>
        <c:lblOffset val="100"/>
        <c:tickLblSkip val="1"/>
        <c:tickMarkSkip val="1"/>
        <c:noMultiLvlLbl val="0"/>
      </c:catAx>
      <c:valAx>
        <c:axId val="883920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88373888"/>
        <c:crosses val="autoZero"/>
        <c:crossBetween val="between"/>
      </c:valAx>
      <c:spPr>
        <a:solidFill>
          <a:srgbClr val="C0C0C0"/>
        </a:solidFill>
        <a:ln w="12700">
          <a:solidFill>
            <a:srgbClr val="808080"/>
          </a:solidFill>
          <a:prstDash val="solid"/>
        </a:ln>
      </c:spPr>
    </c:plotArea>
    <c:legend>
      <c:legendPos val="r"/>
      <c:legendEntry>
        <c:idx val="1"/>
        <c:delete val="1"/>
      </c:legendEntry>
      <c:overlay val="0"/>
      <c:spPr>
        <a:solidFill>
          <a:srgbClr val="FFFFFF"/>
        </a:solidFill>
        <a:ln w="3175">
          <a:solidFill>
            <a:srgbClr val="000000"/>
          </a:solidFill>
          <a:prstDash val="solid"/>
        </a:ln>
      </c:spPr>
      <c:txPr>
        <a:bodyPr/>
        <a:lstStyle/>
        <a:p>
          <a:pPr>
            <a:defRPr lang="es-ES" sz="32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ANALISIS INGRESOS-GASTOS</a:t>
            </a:r>
          </a:p>
        </c:rich>
      </c:tx>
      <c:overlay val="0"/>
      <c:spPr>
        <a:noFill/>
        <a:ln w="25400">
          <a:noFill/>
        </a:ln>
      </c:spPr>
    </c:title>
    <c:autoTitleDeleted val="0"/>
    <c:plotArea>
      <c:layout/>
      <c:barChart>
        <c:barDir val="col"/>
        <c:grouping val="clustered"/>
        <c:varyColors val="0"/>
        <c:ser>
          <c:idx val="0"/>
          <c:order val="0"/>
          <c:tx>
            <c:strRef>
              <c:f>[2]Municipios!$A$26</c:f>
              <c:strCache>
                <c:ptCount val="1"/>
                <c:pt idx="0">
                  <c:v>INGRESOS OPERACIONALES</c:v>
                </c:pt>
              </c:strCache>
            </c:strRef>
          </c:tx>
          <c:spPr>
            <a:solidFill>
              <a:srgbClr val="9999FF"/>
            </a:solidFill>
            <a:ln w="12700">
              <a:solidFill>
                <a:srgbClr val="000000"/>
              </a:solidFill>
              <a:prstDash val="solid"/>
            </a:ln>
          </c:spPr>
          <c:invertIfNegative val="0"/>
          <c:cat>
            <c:strRef>
              <c:f>[2]Municipios!$B$25:$C$25</c:f>
              <c:strCache>
                <c:ptCount val="2"/>
                <c:pt idx="0">
                  <c:v> </c:v>
                </c:pt>
                <c:pt idx="1">
                  <c:v> </c:v>
                </c:pt>
              </c:strCache>
            </c:strRef>
          </c:cat>
          <c:val>
            <c:numRef>
              <c:f>[2]Municipios!$B$26:$C$26</c:f>
              <c:numCache>
                <c:formatCode>General</c:formatCode>
                <c:ptCount val="2"/>
                <c:pt idx="0">
                  <c:v>3253883</c:v>
                </c:pt>
                <c:pt idx="1">
                  <c:v>2112666</c:v>
                </c:pt>
              </c:numCache>
            </c:numRef>
          </c:val>
        </c:ser>
        <c:ser>
          <c:idx val="1"/>
          <c:order val="1"/>
          <c:tx>
            <c:strRef>
              <c:f>[2]Municipios!$A$27</c:f>
              <c:strCache>
                <c:ptCount val="1"/>
                <c:pt idx="0">
                  <c:v>GASTOS</c:v>
                </c:pt>
              </c:strCache>
            </c:strRef>
          </c:tx>
          <c:spPr>
            <a:solidFill>
              <a:srgbClr val="993366"/>
            </a:solidFill>
            <a:ln w="12700">
              <a:solidFill>
                <a:srgbClr val="000000"/>
              </a:solidFill>
              <a:prstDash val="solid"/>
            </a:ln>
          </c:spPr>
          <c:invertIfNegative val="0"/>
          <c:cat>
            <c:strRef>
              <c:f>[2]Municipios!$B$25:$C$25</c:f>
              <c:strCache>
                <c:ptCount val="2"/>
                <c:pt idx="0">
                  <c:v> </c:v>
                </c:pt>
                <c:pt idx="1">
                  <c:v> </c:v>
                </c:pt>
              </c:strCache>
            </c:strRef>
          </c:cat>
          <c:val>
            <c:numRef>
              <c:f>[2]Municipios!$B$27:$C$27</c:f>
              <c:numCache>
                <c:formatCode>General</c:formatCode>
                <c:ptCount val="2"/>
              </c:numCache>
            </c:numRef>
          </c:val>
        </c:ser>
        <c:ser>
          <c:idx val="2"/>
          <c:order val="2"/>
          <c:tx>
            <c:strRef>
              <c:f>[2]Municipios!$A$28</c:f>
              <c:strCache>
                <c:ptCount val="1"/>
                <c:pt idx="0">
                  <c:v>GASTOS OPERACIONALES</c:v>
                </c:pt>
              </c:strCache>
            </c:strRef>
          </c:tx>
          <c:spPr>
            <a:solidFill>
              <a:srgbClr val="FFFFCC"/>
            </a:solidFill>
            <a:ln w="12700">
              <a:solidFill>
                <a:srgbClr val="000000"/>
              </a:solidFill>
              <a:prstDash val="solid"/>
            </a:ln>
          </c:spPr>
          <c:invertIfNegative val="0"/>
          <c:cat>
            <c:strRef>
              <c:f>[2]Municipios!$B$25:$C$25</c:f>
              <c:strCache>
                <c:ptCount val="2"/>
                <c:pt idx="0">
                  <c:v> </c:v>
                </c:pt>
                <c:pt idx="1">
                  <c:v> </c:v>
                </c:pt>
              </c:strCache>
            </c:strRef>
          </c:cat>
          <c:val>
            <c:numRef>
              <c:f>[2]Municipios!$B$28:$C$28</c:f>
              <c:numCache>
                <c:formatCode>General</c:formatCode>
                <c:ptCount val="2"/>
                <c:pt idx="0">
                  <c:v>3431994</c:v>
                </c:pt>
                <c:pt idx="1">
                  <c:v>1174476</c:v>
                </c:pt>
              </c:numCache>
            </c:numRef>
          </c:val>
        </c:ser>
        <c:dLbls>
          <c:showLegendKey val="0"/>
          <c:showVal val="0"/>
          <c:showCatName val="0"/>
          <c:showSerName val="0"/>
          <c:showPercent val="0"/>
          <c:showBubbleSize val="0"/>
        </c:dLbls>
        <c:gapWidth val="150"/>
        <c:axId val="93865472"/>
        <c:axId val="93867008"/>
      </c:barChart>
      <c:catAx>
        <c:axId val="9386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93867008"/>
        <c:crosses val="autoZero"/>
        <c:auto val="1"/>
        <c:lblAlgn val="ctr"/>
        <c:lblOffset val="100"/>
        <c:tickLblSkip val="1"/>
        <c:tickMarkSkip val="1"/>
        <c:noMultiLvlLbl val="0"/>
      </c:catAx>
      <c:valAx>
        <c:axId val="93867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93865472"/>
        <c:crosses val="autoZero"/>
        <c:crossBetween val="between"/>
      </c:valAx>
      <c:spPr>
        <a:solidFill>
          <a:srgbClr val="C0C0C0"/>
        </a:solidFill>
        <a:ln w="12700">
          <a:solidFill>
            <a:srgbClr val="808080"/>
          </a:solidFill>
          <a:prstDash val="solid"/>
        </a:ln>
      </c:spPr>
    </c:plotArea>
    <c:legend>
      <c:legendPos val="r"/>
      <c:legendEntry>
        <c:idx val="1"/>
        <c:delete val="1"/>
      </c:legendEntry>
      <c:overlay val="0"/>
      <c:spPr>
        <a:solidFill>
          <a:srgbClr val="FFFFFF"/>
        </a:solidFill>
        <a:ln w="3175">
          <a:solidFill>
            <a:srgbClr val="000000"/>
          </a:solidFill>
          <a:prstDash val="solid"/>
        </a:ln>
      </c:spPr>
      <c:txPr>
        <a:bodyPr/>
        <a:lstStyle/>
        <a:p>
          <a:pPr>
            <a:defRPr lang="es-ES" sz="32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ANALISIS INGRESOS-GASTOS</a:t>
            </a:r>
          </a:p>
        </c:rich>
      </c:tx>
      <c:overlay val="0"/>
      <c:spPr>
        <a:noFill/>
        <a:ln w="25400">
          <a:noFill/>
        </a:ln>
      </c:spPr>
    </c:title>
    <c:autoTitleDeleted val="0"/>
    <c:plotArea>
      <c:layout/>
      <c:barChart>
        <c:barDir val="col"/>
        <c:grouping val="clustered"/>
        <c:varyColors val="0"/>
        <c:ser>
          <c:idx val="0"/>
          <c:order val="0"/>
          <c:tx>
            <c:strRef>
              <c:f>[2]Municipios!$A$26</c:f>
              <c:strCache>
                <c:ptCount val="1"/>
                <c:pt idx="0">
                  <c:v>INGRESOS OPERACIONALES</c:v>
                </c:pt>
              </c:strCache>
            </c:strRef>
          </c:tx>
          <c:spPr>
            <a:solidFill>
              <a:srgbClr val="9999FF"/>
            </a:solidFill>
            <a:ln w="12700">
              <a:solidFill>
                <a:srgbClr val="000000"/>
              </a:solidFill>
              <a:prstDash val="solid"/>
            </a:ln>
          </c:spPr>
          <c:invertIfNegative val="0"/>
          <c:cat>
            <c:strRef>
              <c:f>[2]Municipios!$B$25:$C$25</c:f>
              <c:strCache>
                <c:ptCount val="2"/>
                <c:pt idx="0">
                  <c:v> </c:v>
                </c:pt>
                <c:pt idx="1">
                  <c:v> </c:v>
                </c:pt>
              </c:strCache>
            </c:strRef>
          </c:cat>
          <c:val>
            <c:numRef>
              <c:f>[2]Municipios!$B$26:$C$26</c:f>
              <c:numCache>
                <c:formatCode>General</c:formatCode>
                <c:ptCount val="2"/>
                <c:pt idx="0">
                  <c:v>3253883</c:v>
                </c:pt>
                <c:pt idx="1">
                  <c:v>2112666</c:v>
                </c:pt>
              </c:numCache>
            </c:numRef>
          </c:val>
        </c:ser>
        <c:ser>
          <c:idx val="1"/>
          <c:order val="1"/>
          <c:tx>
            <c:strRef>
              <c:f>[2]Municipios!$A$27</c:f>
              <c:strCache>
                <c:ptCount val="1"/>
                <c:pt idx="0">
                  <c:v>GASTOS</c:v>
                </c:pt>
              </c:strCache>
            </c:strRef>
          </c:tx>
          <c:spPr>
            <a:solidFill>
              <a:srgbClr val="993366"/>
            </a:solidFill>
            <a:ln w="12700">
              <a:solidFill>
                <a:srgbClr val="000000"/>
              </a:solidFill>
              <a:prstDash val="solid"/>
            </a:ln>
          </c:spPr>
          <c:invertIfNegative val="0"/>
          <c:cat>
            <c:strRef>
              <c:f>[2]Municipios!$B$25:$C$25</c:f>
              <c:strCache>
                <c:ptCount val="2"/>
                <c:pt idx="0">
                  <c:v> </c:v>
                </c:pt>
                <c:pt idx="1">
                  <c:v> </c:v>
                </c:pt>
              </c:strCache>
            </c:strRef>
          </c:cat>
          <c:val>
            <c:numRef>
              <c:f>[2]Municipios!$B$27:$C$27</c:f>
              <c:numCache>
                <c:formatCode>General</c:formatCode>
                <c:ptCount val="2"/>
              </c:numCache>
            </c:numRef>
          </c:val>
        </c:ser>
        <c:ser>
          <c:idx val="2"/>
          <c:order val="2"/>
          <c:tx>
            <c:strRef>
              <c:f>[2]Municipios!$A$28</c:f>
              <c:strCache>
                <c:ptCount val="1"/>
                <c:pt idx="0">
                  <c:v>GASTOS OPERACIONALES</c:v>
                </c:pt>
              </c:strCache>
            </c:strRef>
          </c:tx>
          <c:spPr>
            <a:solidFill>
              <a:srgbClr val="FFFFCC"/>
            </a:solidFill>
            <a:ln w="12700">
              <a:solidFill>
                <a:srgbClr val="000000"/>
              </a:solidFill>
              <a:prstDash val="solid"/>
            </a:ln>
          </c:spPr>
          <c:invertIfNegative val="0"/>
          <c:cat>
            <c:strRef>
              <c:f>[2]Municipios!$B$25:$C$25</c:f>
              <c:strCache>
                <c:ptCount val="2"/>
                <c:pt idx="0">
                  <c:v> </c:v>
                </c:pt>
                <c:pt idx="1">
                  <c:v> </c:v>
                </c:pt>
              </c:strCache>
            </c:strRef>
          </c:cat>
          <c:val>
            <c:numRef>
              <c:f>[2]Municipios!$B$28:$C$28</c:f>
              <c:numCache>
                <c:formatCode>General</c:formatCode>
                <c:ptCount val="2"/>
                <c:pt idx="0">
                  <c:v>3431994</c:v>
                </c:pt>
                <c:pt idx="1">
                  <c:v>1174476</c:v>
                </c:pt>
              </c:numCache>
            </c:numRef>
          </c:val>
        </c:ser>
        <c:dLbls>
          <c:showLegendKey val="0"/>
          <c:showVal val="0"/>
          <c:showCatName val="0"/>
          <c:showSerName val="0"/>
          <c:showPercent val="0"/>
          <c:showBubbleSize val="0"/>
        </c:dLbls>
        <c:gapWidth val="150"/>
        <c:axId val="84836736"/>
        <c:axId val="84838272"/>
      </c:barChart>
      <c:catAx>
        <c:axId val="84836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84838272"/>
        <c:crosses val="autoZero"/>
        <c:auto val="1"/>
        <c:lblAlgn val="ctr"/>
        <c:lblOffset val="100"/>
        <c:tickLblSkip val="1"/>
        <c:tickMarkSkip val="1"/>
        <c:noMultiLvlLbl val="0"/>
      </c:catAx>
      <c:valAx>
        <c:axId val="848382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84836736"/>
        <c:crosses val="autoZero"/>
        <c:crossBetween val="between"/>
      </c:valAx>
      <c:spPr>
        <a:solidFill>
          <a:srgbClr val="C0C0C0"/>
        </a:solidFill>
        <a:ln w="12700">
          <a:solidFill>
            <a:srgbClr val="808080"/>
          </a:solidFill>
          <a:prstDash val="solid"/>
        </a:ln>
      </c:spPr>
    </c:plotArea>
    <c:legend>
      <c:legendPos val="r"/>
      <c:legendEntry>
        <c:idx val="1"/>
        <c:delete val="1"/>
      </c:legendEntry>
      <c:overlay val="0"/>
      <c:spPr>
        <a:solidFill>
          <a:srgbClr val="FFFFFF"/>
        </a:solidFill>
        <a:ln w="3175">
          <a:solidFill>
            <a:srgbClr val="000000"/>
          </a:solidFill>
          <a:prstDash val="solid"/>
        </a:ln>
      </c:spPr>
      <c:txPr>
        <a:bodyPr/>
        <a:lstStyle/>
        <a:p>
          <a:pPr>
            <a:defRPr lang="es-ES" sz="32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88" r="0.75000000000000488" t="1" header="0" footer="0"/>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ANALISIS INGRESOS-GASTOS</a:t>
            </a:r>
          </a:p>
        </c:rich>
      </c:tx>
      <c:overlay val="0"/>
      <c:spPr>
        <a:noFill/>
        <a:ln w="25400">
          <a:noFill/>
        </a:ln>
      </c:spPr>
    </c:title>
    <c:autoTitleDeleted val="0"/>
    <c:plotArea>
      <c:layout/>
      <c:barChart>
        <c:barDir val="col"/>
        <c:grouping val="clustered"/>
        <c:varyColors val="0"/>
        <c:ser>
          <c:idx val="0"/>
          <c:order val="0"/>
          <c:tx>
            <c:strRef>
              <c:f>[1]Municipios!$A$26</c:f>
              <c:strCache>
                <c:ptCount val="1"/>
                <c:pt idx="0">
                  <c:v>INGRESOS OPERACIONALES</c:v>
                </c:pt>
              </c:strCache>
            </c:strRef>
          </c:tx>
          <c:spPr>
            <a:solidFill>
              <a:srgbClr val="9999FF"/>
            </a:solidFill>
            <a:ln w="12700">
              <a:solidFill>
                <a:srgbClr val="000000"/>
              </a:solidFill>
              <a:prstDash val="solid"/>
            </a:ln>
          </c:spPr>
          <c:invertIfNegative val="0"/>
          <c:cat>
            <c:strRef>
              <c:f>[1]Municipios!$B$25:$C$25</c:f>
              <c:strCache>
                <c:ptCount val="2"/>
                <c:pt idx="0">
                  <c:v> </c:v>
                </c:pt>
                <c:pt idx="1">
                  <c:v> </c:v>
                </c:pt>
              </c:strCache>
            </c:strRef>
          </c:cat>
          <c:val>
            <c:numRef>
              <c:f>[1]Municipios!$B$26:$C$26</c:f>
              <c:numCache>
                <c:formatCode>General</c:formatCode>
                <c:ptCount val="2"/>
                <c:pt idx="0">
                  <c:v>3253883</c:v>
                </c:pt>
                <c:pt idx="1">
                  <c:v>2112666</c:v>
                </c:pt>
              </c:numCache>
            </c:numRef>
          </c:val>
        </c:ser>
        <c:ser>
          <c:idx val="1"/>
          <c:order val="1"/>
          <c:tx>
            <c:strRef>
              <c:f>[1]Municipios!$A$27</c:f>
              <c:strCache>
                <c:ptCount val="1"/>
                <c:pt idx="0">
                  <c:v>GASTOS</c:v>
                </c:pt>
              </c:strCache>
            </c:strRef>
          </c:tx>
          <c:spPr>
            <a:solidFill>
              <a:srgbClr val="993366"/>
            </a:solidFill>
            <a:ln w="12700">
              <a:solidFill>
                <a:srgbClr val="000000"/>
              </a:solidFill>
              <a:prstDash val="solid"/>
            </a:ln>
          </c:spPr>
          <c:invertIfNegative val="0"/>
          <c:cat>
            <c:strRef>
              <c:f>[1]Municipios!$B$25:$C$25</c:f>
              <c:strCache>
                <c:ptCount val="2"/>
                <c:pt idx="0">
                  <c:v> </c:v>
                </c:pt>
                <c:pt idx="1">
                  <c:v> </c:v>
                </c:pt>
              </c:strCache>
            </c:strRef>
          </c:cat>
          <c:val>
            <c:numRef>
              <c:f>[1]Municipios!$B$27:$C$27</c:f>
              <c:numCache>
                <c:formatCode>General</c:formatCode>
                <c:ptCount val="2"/>
              </c:numCache>
            </c:numRef>
          </c:val>
        </c:ser>
        <c:ser>
          <c:idx val="2"/>
          <c:order val="2"/>
          <c:tx>
            <c:strRef>
              <c:f>[1]Municipios!$A$28</c:f>
              <c:strCache>
                <c:ptCount val="1"/>
                <c:pt idx="0">
                  <c:v>GASTOS OPERACIONALES</c:v>
                </c:pt>
              </c:strCache>
            </c:strRef>
          </c:tx>
          <c:spPr>
            <a:solidFill>
              <a:srgbClr val="FFFFCC"/>
            </a:solidFill>
            <a:ln w="12700">
              <a:solidFill>
                <a:srgbClr val="000000"/>
              </a:solidFill>
              <a:prstDash val="solid"/>
            </a:ln>
          </c:spPr>
          <c:invertIfNegative val="0"/>
          <c:cat>
            <c:strRef>
              <c:f>[1]Municipios!$B$25:$C$25</c:f>
              <c:strCache>
                <c:ptCount val="2"/>
                <c:pt idx="0">
                  <c:v> </c:v>
                </c:pt>
                <c:pt idx="1">
                  <c:v> </c:v>
                </c:pt>
              </c:strCache>
            </c:strRef>
          </c:cat>
          <c:val>
            <c:numRef>
              <c:f>[1]Municipios!$B$28:$C$28</c:f>
              <c:numCache>
                <c:formatCode>General</c:formatCode>
                <c:ptCount val="2"/>
                <c:pt idx="0">
                  <c:v>3431994</c:v>
                </c:pt>
                <c:pt idx="1">
                  <c:v>1174476</c:v>
                </c:pt>
              </c:numCache>
            </c:numRef>
          </c:val>
        </c:ser>
        <c:dLbls>
          <c:showLegendKey val="0"/>
          <c:showVal val="0"/>
          <c:showCatName val="0"/>
          <c:showSerName val="0"/>
          <c:showPercent val="0"/>
          <c:showBubbleSize val="0"/>
        </c:dLbls>
        <c:gapWidth val="150"/>
        <c:axId val="86594304"/>
        <c:axId val="86595840"/>
      </c:barChart>
      <c:catAx>
        <c:axId val="86594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86595840"/>
        <c:crosses val="autoZero"/>
        <c:auto val="1"/>
        <c:lblAlgn val="ctr"/>
        <c:lblOffset val="100"/>
        <c:tickLblSkip val="1"/>
        <c:tickMarkSkip val="1"/>
        <c:noMultiLvlLbl val="0"/>
      </c:catAx>
      <c:valAx>
        <c:axId val="865958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ES" sz="350" b="0" i="0" u="none" strike="noStrike" baseline="0">
                <a:solidFill>
                  <a:srgbClr val="000000"/>
                </a:solidFill>
                <a:latin typeface="Arial"/>
                <a:ea typeface="Arial"/>
                <a:cs typeface="Arial"/>
              </a:defRPr>
            </a:pPr>
            <a:endParaRPr lang="es-CO"/>
          </a:p>
        </c:txPr>
        <c:crossAx val="86594304"/>
        <c:crosses val="autoZero"/>
        <c:crossBetween val="between"/>
      </c:valAx>
      <c:spPr>
        <a:solidFill>
          <a:srgbClr val="C0C0C0"/>
        </a:solidFill>
        <a:ln w="12700">
          <a:solidFill>
            <a:srgbClr val="808080"/>
          </a:solidFill>
          <a:prstDash val="solid"/>
        </a:ln>
      </c:spPr>
    </c:plotArea>
    <c:legend>
      <c:legendPos val="r"/>
      <c:legendEntry>
        <c:idx val="1"/>
        <c:delete val="1"/>
      </c:legendEntry>
      <c:overlay val="0"/>
      <c:spPr>
        <a:solidFill>
          <a:srgbClr val="FFFFFF"/>
        </a:solidFill>
        <a:ln w="3175">
          <a:solidFill>
            <a:srgbClr val="000000"/>
          </a:solidFill>
          <a:prstDash val="solid"/>
        </a:ln>
      </c:spPr>
      <c:txPr>
        <a:bodyPr/>
        <a:lstStyle/>
        <a:p>
          <a:pPr>
            <a:defRPr lang="es-ES" sz="32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9790575916230675"/>
          <c:y val="0"/>
          <c:w val="7.8534031413612593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2.000</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425" b="1" i="0" u="none" strike="noStrike" baseline="0">
                <a:solidFill>
                  <a:srgbClr val="000000"/>
                </a:solidFill>
                <a:latin typeface="Arial"/>
                <a:ea typeface="Arial"/>
                <a:cs typeface="Arial"/>
              </a:defRPr>
            </a:pPr>
            <a:r>
              <a:rPr lang="es-ES"/>
              <a:t>ESTRUCTURA BALANCE 1999</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411764705882351"/>
          <c:y val="0"/>
          <c:w val="3.5294117647058851E-2"/>
          <c:h val="0"/>
        </c:manualLayout>
      </c:layout>
      <c:pie3DChart>
        <c:varyColors val="1"/>
        <c:ser>
          <c:idx val="0"/>
          <c:order val="0"/>
          <c:spPr>
            <a:solidFill>
              <a:srgbClr val="9999FF"/>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rtl="0">
            <a:defRPr lang="es-ES" sz="320" b="0" i="0" u="none" strike="noStrike" baseline="0">
              <a:solidFill>
                <a:srgbClr val="000000"/>
              </a:solidFill>
              <a:latin typeface="Arial"/>
              <a:ea typeface="Arial"/>
              <a:cs typeface="Arial"/>
            </a:defRPr>
          </a:pPr>
          <a:endParaRPr lang="es-CO"/>
        </a:p>
      </c:txPr>
    </c:legend>
    <c:plotVisOnly val="1"/>
    <c:dispBlanksAs val="zero"/>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CO"/>
    </a:p>
  </c:txPr>
  <c:printSettings>
    <c:headerFooter alignWithMargins="0"/>
    <c:pageMargins b="1" l="0.75000000000000466" r="0.75000000000000466" t="1" header="0" footer="0"/>
    <c:pageSetup/>
  </c:printSettings>
  <c:userShapes r:id="rId1"/>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s>
</file>

<file path=xl/drawings/drawing1.xml><?xml version="1.0" encoding="utf-8"?>
<xdr:wsDr xmlns:xdr="http://schemas.openxmlformats.org/drawingml/2006/spreadsheetDrawing" xmlns:a="http://schemas.openxmlformats.org/drawingml/2006/main">
  <xdr:twoCellAnchor>
    <xdr:from>
      <xdr:col>3</xdr:col>
      <xdr:colOff>590550</xdr:colOff>
      <xdr:row>29</xdr:row>
      <xdr:rowOff>0</xdr:rowOff>
    </xdr:from>
    <xdr:to>
      <xdr:col>5</xdr:col>
      <xdr:colOff>295275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29</xdr:row>
      <xdr:rowOff>0</xdr:rowOff>
    </xdr:from>
    <xdr:to>
      <xdr:col>4</xdr:col>
      <xdr:colOff>752475</xdr:colOff>
      <xdr:row>29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200025</xdr:colOff>
      <xdr:row>29</xdr:row>
      <xdr:rowOff>0</xdr:rowOff>
    </xdr:from>
    <xdr:to>
      <xdr:col>4</xdr:col>
      <xdr:colOff>790575</xdr:colOff>
      <xdr:row>29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590550</xdr:colOff>
      <xdr:row>29</xdr:row>
      <xdr:rowOff>0</xdr:rowOff>
    </xdr:from>
    <xdr:to>
      <xdr:col>5</xdr:col>
      <xdr:colOff>295275</xdr:colOff>
      <xdr:row>29</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161925</xdr:colOff>
      <xdr:row>29</xdr:row>
      <xdr:rowOff>0</xdr:rowOff>
    </xdr:from>
    <xdr:to>
      <xdr:col>4</xdr:col>
      <xdr:colOff>752475</xdr:colOff>
      <xdr:row>29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200025</xdr:colOff>
      <xdr:row>29</xdr:row>
      <xdr:rowOff>0</xdr:rowOff>
    </xdr:from>
    <xdr:to>
      <xdr:col>4</xdr:col>
      <xdr:colOff>790575</xdr:colOff>
      <xdr:row>29</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590550</xdr:colOff>
      <xdr:row>29</xdr:row>
      <xdr:rowOff>0</xdr:rowOff>
    </xdr:from>
    <xdr:to>
      <xdr:col>4</xdr:col>
      <xdr:colOff>295275</xdr:colOff>
      <xdr:row>29</xdr:row>
      <xdr:rowOff>0</xdr:rowOff>
    </xdr:to>
    <xdr:graphicFrame macro="">
      <xdr:nvGraphicFramePr>
        <xdr:cNvPr id="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1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590550</xdr:colOff>
      <xdr:row>29</xdr:row>
      <xdr:rowOff>0</xdr:rowOff>
    </xdr:from>
    <xdr:to>
      <xdr:col>4</xdr:col>
      <xdr:colOff>295275</xdr:colOff>
      <xdr:row>29</xdr:row>
      <xdr:rowOff>0</xdr:rowOff>
    </xdr:to>
    <xdr:graphicFrame macro="">
      <xdr:nvGraphicFramePr>
        <xdr:cNvPr id="1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1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1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161925</xdr:colOff>
      <xdr:row>29</xdr:row>
      <xdr:rowOff>0</xdr:rowOff>
    </xdr:from>
    <xdr:to>
      <xdr:col>5</xdr:col>
      <xdr:colOff>752475</xdr:colOff>
      <xdr:row>29</xdr:row>
      <xdr:rowOff>0</xdr:rowOff>
    </xdr:to>
    <xdr:graphicFrame macro="">
      <xdr:nvGraphicFramePr>
        <xdr:cNvPr id="1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200025</xdr:colOff>
      <xdr:row>29</xdr:row>
      <xdr:rowOff>0</xdr:rowOff>
    </xdr:from>
    <xdr:to>
      <xdr:col>5</xdr:col>
      <xdr:colOff>790575</xdr:colOff>
      <xdr:row>29</xdr:row>
      <xdr:rowOff>0</xdr:rowOff>
    </xdr:to>
    <xdr:graphicFrame macro="">
      <xdr:nvGraphicFramePr>
        <xdr:cNvPr id="1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161925</xdr:colOff>
      <xdr:row>29</xdr:row>
      <xdr:rowOff>0</xdr:rowOff>
    </xdr:from>
    <xdr:to>
      <xdr:col>5</xdr:col>
      <xdr:colOff>752475</xdr:colOff>
      <xdr:row>29</xdr:row>
      <xdr:rowOff>0</xdr:rowOff>
    </xdr:to>
    <xdr:graphicFrame macro="">
      <xdr:nvGraphicFramePr>
        <xdr:cNvPr id="1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200025</xdr:colOff>
      <xdr:row>29</xdr:row>
      <xdr:rowOff>0</xdr:rowOff>
    </xdr:from>
    <xdr:to>
      <xdr:col>5</xdr:col>
      <xdr:colOff>790575</xdr:colOff>
      <xdr:row>29</xdr:row>
      <xdr:rowOff>0</xdr:rowOff>
    </xdr:to>
    <xdr:graphicFrame macro="">
      <xdr:nvGraphicFramePr>
        <xdr:cNvPr id="1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590550</xdr:colOff>
      <xdr:row>29</xdr:row>
      <xdr:rowOff>0</xdr:rowOff>
    </xdr:from>
    <xdr:to>
      <xdr:col>5</xdr:col>
      <xdr:colOff>295275</xdr:colOff>
      <xdr:row>29</xdr:row>
      <xdr:rowOff>0</xdr:rowOff>
    </xdr:to>
    <xdr:graphicFrame macro="">
      <xdr:nvGraphicFramePr>
        <xdr:cNvPr id="1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161925</xdr:colOff>
      <xdr:row>29</xdr:row>
      <xdr:rowOff>0</xdr:rowOff>
    </xdr:from>
    <xdr:to>
      <xdr:col>4</xdr:col>
      <xdr:colOff>752475</xdr:colOff>
      <xdr:row>29</xdr:row>
      <xdr:rowOff>0</xdr:rowOff>
    </xdr:to>
    <xdr:graphicFrame macro="">
      <xdr:nvGraphicFramePr>
        <xdr:cNvPr id="1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200025</xdr:colOff>
      <xdr:row>29</xdr:row>
      <xdr:rowOff>0</xdr:rowOff>
    </xdr:from>
    <xdr:to>
      <xdr:col>4</xdr:col>
      <xdr:colOff>790575</xdr:colOff>
      <xdr:row>29</xdr:row>
      <xdr:rowOff>0</xdr:rowOff>
    </xdr:to>
    <xdr:graphicFrame macro="">
      <xdr:nvGraphicFramePr>
        <xdr:cNvPr id="20"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590550</xdr:colOff>
      <xdr:row>29</xdr:row>
      <xdr:rowOff>0</xdr:rowOff>
    </xdr:from>
    <xdr:to>
      <xdr:col>5</xdr:col>
      <xdr:colOff>295275</xdr:colOff>
      <xdr:row>29</xdr:row>
      <xdr:rowOff>0</xdr:rowOff>
    </xdr:to>
    <xdr:graphicFrame macro="">
      <xdr:nvGraphicFramePr>
        <xdr:cNvPr id="21"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161925</xdr:colOff>
      <xdr:row>29</xdr:row>
      <xdr:rowOff>0</xdr:rowOff>
    </xdr:from>
    <xdr:to>
      <xdr:col>4</xdr:col>
      <xdr:colOff>752475</xdr:colOff>
      <xdr:row>29</xdr:row>
      <xdr:rowOff>0</xdr:rowOff>
    </xdr:to>
    <xdr:graphicFrame macro="">
      <xdr:nvGraphicFramePr>
        <xdr:cNvPr id="2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200025</xdr:colOff>
      <xdr:row>29</xdr:row>
      <xdr:rowOff>0</xdr:rowOff>
    </xdr:from>
    <xdr:to>
      <xdr:col>4</xdr:col>
      <xdr:colOff>790575</xdr:colOff>
      <xdr:row>29</xdr:row>
      <xdr:rowOff>0</xdr:rowOff>
    </xdr:to>
    <xdr:graphicFrame macro="">
      <xdr:nvGraphicFramePr>
        <xdr:cNvPr id="23"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161925</xdr:colOff>
      <xdr:row>29</xdr:row>
      <xdr:rowOff>0</xdr:rowOff>
    </xdr:from>
    <xdr:to>
      <xdr:col>4</xdr:col>
      <xdr:colOff>752475</xdr:colOff>
      <xdr:row>29</xdr:row>
      <xdr:rowOff>0</xdr:rowOff>
    </xdr:to>
    <xdr:graphicFrame macro="">
      <xdr:nvGraphicFramePr>
        <xdr:cNvPr id="2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200025</xdr:colOff>
      <xdr:row>29</xdr:row>
      <xdr:rowOff>0</xdr:rowOff>
    </xdr:from>
    <xdr:to>
      <xdr:col>4</xdr:col>
      <xdr:colOff>790575</xdr:colOff>
      <xdr:row>29</xdr:row>
      <xdr:rowOff>0</xdr:rowOff>
    </xdr:to>
    <xdr:graphicFrame macro="">
      <xdr:nvGraphicFramePr>
        <xdr:cNvPr id="2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161925</xdr:colOff>
      <xdr:row>29</xdr:row>
      <xdr:rowOff>0</xdr:rowOff>
    </xdr:from>
    <xdr:to>
      <xdr:col>4</xdr:col>
      <xdr:colOff>752475</xdr:colOff>
      <xdr:row>29</xdr:row>
      <xdr:rowOff>0</xdr:rowOff>
    </xdr:to>
    <xdr:graphicFrame macro="">
      <xdr:nvGraphicFramePr>
        <xdr:cNvPr id="2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200025</xdr:colOff>
      <xdr:row>29</xdr:row>
      <xdr:rowOff>0</xdr:rowOff>
    </xdr:from>
    <xdr:to>
      <xdr:col>4</xdr:col>
      <xdr:colOff>790575</xdr:colOff>
      <xdr:row>29</xdr:row>
      <xdr:rowOff>0</xdr:rowOff>
    </xdr:to>
    <xdr:graphicFrame macro="">
      <xdr:nvGraphicFramePr>
        <xdr:cNvPr id="2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161925</xdr:colOff>
      <xdr:row>29</xdr:row>
      <xdr:rowOff>0</xdr:rowOff>
    </xdr:from>
    <xdr:to>
      <xdr:col>4</xdr:col>
      <xdr:colOff>752475</xdr:colOff>
      <xdr:row>29</xdr:row>
      <xdr:rowOff>0</xdr:rowOff>
    </xdr:to>
    <xdr:graphicFrame macro="">
      <xdr:nvGraphicFramePr>
        <xdr:cNvPr id="2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200025</xdr:colOff>
      <xdr:row>29</xdr:row>
      <xdr:rowOff>0</xdr:rowOff>
    </xdr:from>
    <xdr:to>
      <xdr:col>4</xdr:col>
      <xdr:colOff>790575</xdr:colOff>
      <xdr:row>29</xdr:row>
      <xdr:rowOff>0</xdr:rowOff>
    </xdr:to>
    <xdr:graphicFrame macro="">
      <xdr:nvGraphicFramePr>
        <xdr:cNvPr id="2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161925</xdr:colOff>
      <xdr:row>29</xdr:row>
      <xdr:rowOff>0</xdr:rowOff>
    </xdr:from>
    <xdr:to>
      <xdr:col>4</xdr:col>
      <xdr:colOff>752475</xdr:colOff>
      <xdr:row>29</xdr:row>
      <xdr:rowOff>0</xdr:rowOff>
    </xdr:to>
    <xdr:graphicFrame macro="">
      <xdr:nvGraphicFramePr>
        <xdr:cNvPr id="3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200025</xdr:colOff>
      <xdr:row>29</xdr:row>
      <xdr:rowOff>0</xdr:rowOff>
    </xdr:from>
    <xdr:to>
      <xdr:col>4</xdr:col>
      <xdr:colOff>790575</xdr:colOff>
      <xdr:row>29</xdr:row>
      <xdr:rowOff>0</xdr:rowOff>
    </xdr:to>
    <xdr:graphicFrame macro="">
      <xdr:nvGraphicFramePr>
        <xdr:cNvPr id="3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161925</xdr:colOff>
      <xdr:row>29</xdr:row>
      <xdr:rowOff>0</xdr:rowOff>
    </xdr:from>
    <xdr:to>
      <xdr:col>3</xdr:col>
      <xdr:colOff>752475</xdr:colOff>
      <xdr:row>29</xdr:row>
      <xdr:rowOff>0</xdr:rowOff>
    </xdr:to>
    <xdr:graphicFrame macro="">
      <xdr:nvGraphicFramePr>
        <xdr:cNvPr id="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200025</xdr:colOff>
      <xdr:row>29</xdr:row>
      <xdr:rowOff>0</xdr:rowOff>
    </xdr:from>
    <xdr:to>
      <xdr:col>3</xdr:col>
      <xdr:colOff>790575</xdr:colOff>
      <xdr:row>29</xdr:row>
      <xdr:rowOff>0</xdr:rowOff>
    </xdr:to>
    <xdr:graphicFrame macro="">
      <xdr:nvGraphicFramePr>
        <xdr:cNvPr id="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161925</xdr:colOff>
      <xdr:row>29</xdr:row>
      <xdr:rowOff>0</xdr:rowOff>
    </xdr:from>
    <xdr:to>
      <xdr:col>3</xdr:col>
      <xdr:colOff>752475</xdr:colOff>
      <xdr:row>29</xdr:row>
      <xdr:rowOff>0</xdr:rowOff>
    </xdr:to>
    <xdr:graphicFrame macro="">
      <xdr:nvGraphicFramePr>
        <xdr:cNvPr id="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200025</xdr:colOff>
      <xdr:row>29</xdr:row>
      <xdr:rowOff>0</xdr:rowOff>
    </xdr:from>
    <xdr:to>
      <xdr:col>3</xdr:col>
      <xdr:colOff>790575</xdr:colOff>
      <xdr:row>29</xdr:row>
      <xdr:rowOff>0</xdr:rowOff>
    </xdr:to>
    <xdr:graphicFrame macro="">
      <xdr:nvGraphicFramePr>
        <xdr:cNvPr id="3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161925</xdr:colOff>
      <xdr:row>29</xdr:row>
      <xdr:rowOff>0</xdr:rowOff>
    </xdr:from>
    <xdr:to>
      <xdr:col>3</xdr:col>
      <xdr:colOff>752475</xdr:colOff>
      <xdr:row>29</xdr:row>
      <xdr:rowOff>0</xdr:rowOff>
    </xdr:to>
    <xdr:graphicFrame macro="">
      <xdr:nvGraphicFramePr>
        <xdr:cNvPr id="3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200025</xdr:colOff>
      <xdr:row>29</xdr:row>
      <xdr:rowOff>0</xdr:rowOff>
    </xdr:from>
    <xdr:to>
      <xdr:col>3</xdr:col>
      <xdr:colOff>790575</xdr:colOff>
      <xdr:row>29</xdr:row>
      <xdr:rowOff>0</xdr:rowOff>
    </xdr:to>
    <xdr:graphicFrame macro="">
      <xdr:nvGraphicFramePr>
        <xdr:cNvPr id="37"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161925</xdr:colOff>
      <xdr:row>29</xdr:row>
      <xdr:rowOff>0</xdr:rowOff>
    </xdr:from>
    <xdr:to>
      <xdr:col>3</xdr:col>
      <xdr:colOff>752475</xdr:colOff>
      <xdr:row>29</xdr:row>
      <xdr:rowOff>0</xdr:rowOff>
    </xdr:to>
    <xdr:graphicFrame macro="">
      <xdr:nvGraphicFramePr>
        <xdr:cNvPr id="3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200025</xdr:colOff>
      <xdr:row>29</xdr:row>
      <xdr:rowOff>0</xdr:rowOff>
    </xdr:from>
    <xdr:to>
      <xdr:col>3</xdr:col>
      <xdr:colOff>790575</xdr:colOff>
      <xdr:row>29</xdr:row>
      <xdr:rowOff>0</xdr:rowOff>
    </xdr:to>
    <xdr:graphicFrame macro="">
      <xdr:nvGraphicFramePr>
        <xdr:cNvPr id="39"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4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4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4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4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4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4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4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4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xdr:col>
      <xdr:colOff>161925</xdr:colOff>
      <xdr:row>29</xdr:row>
      <xdr:rowOff>0</xdr:rowOff>
    </xdr:from>
    <xdr:to>
      <xdr:col>3</xdr:col>
      <xdr:colOff>752475</xdr:colOff>
      <xdr:row>29</xdr:row>
      <xdr:rowOff>0</xdr:rowOff>
    </xdr:to>
    <xdr:graphicFrame macro="">
      <xdr:nvGraphicFramePr>
        <xdr:cNvPr id="4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xdr:col>
      <xdr:colOff>200025</xdr:colOff>
      <xdr:row>29</xdr:row>
      <xdr:rowOff>0</xdr:rowOff>
    </xdr:from>
    <xdr:to>
      <xdr:col>3</xdr:col>
      <xdr:colOff>790575</xdr:colOff>
      <xdr:row>29</xdr:row>
      <xdr:rowOff>0</xdr:rowOff>
    </xdr:to>
    <xdr:graphicFrame macro="">
      <xdr:nvGraphicFramePr>
        <xdr:cNvPr id="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161925</xdr:colOff>
      <xdr:row>29</xdr:row>
      <xdr:rowOff>0</xdr:rowOff>
    </xdr:from>
    <xdr:to>
      <xdr:col>3</xdr:col>
      <xdr:colOff>752475</xdr:colOff>
      <xdr:row>29</xdr:row>
      <xdr:rowOff>0</xdr:rowOff>
    </xdr:to>
    <xdr:graphicFrame macro="">
      <xdr:nvGraphicFramePr>
        <xdr:cNvPr id="5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xdr:col>
      <xdr:colOff>200025</xdr:colOff>
      <xdr:row>29</xdr:row>
      <xdr:rowOff>0</xdr:rowOff>
    </xdr:from>
    <xdr:to>
      <xdr:col>3</xdr:col>
      <xdr:colOff>790575</xdr:colOff>
      <xdr:row>29</xdr:row>
      <xdr:rowOff>0</xdr:rowOff>
    </xdr:to>
    <xdr:graphicFrame macro="">
      <xdr:nvGraphicFramePr>
        <xdr:cNvPr id="5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161925</xdr:colOff>
      <xdr:row>29</xdr:row>
      <xdr:rowOff>0</xdr:rowOff>
    </xdr:from>
    <xdr:to>
      <xdr:col>3</xdr:col>
      <xdr:colOff>752475</xdr:colOff>
      <xdr:row>29</xdr:row>
      <xdr:rowOff>0</xdr:rowOff>
    </xdr:to>
    <xdr:graphicFrame macro="">
      <xdr:nvGraphicFramePr>
        <xdr:cNvPr id="52"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200025</xdr:colOff>
      <xdr:row>29</xdr:row>
      <xdr:rowOff>0</xdr:rowOff>
    </xdr:from>
    <xdr:to>
      <xdr:col>3</xdr:col>
      <xdr:colOff>790575</xdr:colOff>
      <xdr:row>29</xdr:row>
      <xdr:rowOff>0</xdr:rowOff>
    </xdr:to>
    <xdr:graphicFrame macro="">
      <xdr:nvGraphicFramePr>
        <xdr:cNvPr id="53"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161925</xdr:colOff>
      <xdr:row>29</xdr:row>
      <xdr:rowOff>0</xdr:rowOff>
    </xdr:from>
    <xdr:to>
      <xdr:col>3</xdr:col>
      <xdr:colOff>752475</xdr:colOff>
      <xdr:row>29</xdr:row>
      <xdr:rowOff>0</xdr:rowOff>
    </xdr:to>
    <xdr:graphicFrame macro="">
      <xdr:nvGraphicFramePr>
        <xdr:cNvPr id="5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xdr:col>
      <xdr:colOff>200025</xdr:colOff>
      <xdr:row>29</xdr:row>
      <xdr:rowOff>0</xdr:rowOff>
    </xdr:from>
    <xdr:to>
      <xdr:col>3</xdr:col>
      <xdr:colOff>790575</xdr:colOff>
      <xdr:row>29</xdr:row>
      <xdr:rowOff>0</xdr:rowOff>
    </xdr:to>
    <xdr:graphicFrame macro="">
      <xdr:nvGraphicFramePr>
        <xdr:cNvPr id="5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5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5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5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5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6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6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161925</xdr:colOff>
      <xdr:row>29</xdr:row>
      <xdr:rowOff>0</xdr:rowOff>
    </xdr:from>
    <xdr:to>
      <xdr:col>3</xdr:col>
      <xdr:colOff>752475</xdr:colOff>
      <xdr:row>29</xdr:row>
      <xdr:rowOff>0</xdr:rowOff>
    </xdr:to>
    <xdr:graphicFrame macro="">
      <xdr:nvGraphicFramePr>
        <xdr:cNvPr id="6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200025</xdr:colOff>
      <xdr:row>29</xdr:row>
      <xdr:rowOff>0</xdr:rowOff>
    </xdr:from>
    <xdr:to>
      <xdr:col>3</xdr:col>
      <xdr:colOff>790575</xdr:colOff>
      <xdr:row>29</xdr:row>
      <xdr:rowOff>0</xdr:rowOff>
    </xdr:to>
    <xdr:graphicFrame macro="">
      <xdr:nvGraphicFramePr>
        <xdr:cNvPr id="6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161925</xdr:colOff>
      <xdr:row>29</xdr:row>
      <xdr:rowOff>0</xdr:rowOff>
    </xdr:from>
    <xdr:to>
      <xdr:col>2</xdr:col>
      <xdr:colOff>752475</xdr:colOff>
      <xdr:row>29</xdr:row>
      <xdr:rowOff>0</xdr:rowOff>
    </xdr:to>
    <xdr:graphicFrame macro="">
      <xdr:nvGraphicFramePr>
        <xdr:cNvPr id="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200025</xdr:colOff>
      <xdr:row>29</xdr:row>
      <xdr:rowOff>0</xdr:rowOff>
    </xdr:from>
    <xdr:to>
      <xdr:col>2</xdr:col>
      <xdr:colOff>790575</xdr:colOff>
      <xdr:row>29</xdr:row>
      <xdr:rowOff>0</xdr:rowOff>
    </xdr:to>
    <xdr:graphicFrame macro="">
      <xdr:nvGraphicFramePr>
        <xdr:cNvPr id="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161925</xdr:colOff>
      <xdr:row>29</xdr:row>
      <xdr:rowOff>0</xdr:rowOff>
    </xdr:from>
    <xdr:to>
      <xdr:col>2</xdr:col>
      <xdr:colOff>752475</xdr:colOff>
      <xdr:row>29</xdr:row>
      <xdr:rowOff>0</xdr:rowOff>
    </xdr:to>
    <xdr:graphicFrame macro="">
      <xdr:nvGraphicFramePr>
        <xdr:cNvPr id="6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200025</xdr:colOff>
      <xdr:row>29</xdr:row>
      <xdr:rowOff>0</xdr:rowOff>
    </xdr:from>
    <xdr:to>
      <xdr:col>2</xdr:col>
      <xdr:colOff>790575</xdr:colOff>
      <xdr:row>29</xdr:row>
      <xdr:rowOff>0</xdr:rowOff>
    </xdr:to>
    <xdr:graphicFrame macro="">
      <xdr:nvGraphicFramePr>
        <xdr:cNvPr id="6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161925</xdr:colOff>
      <xdr:row>29</xdr:row>
      <xdr:rowOff>0</xdr:rowOff>
    </xdr:from>
    <xdr:to>
      <xdr:col>2</xdr:col>
      <xdr:colOff>752475</xdr:colOff>
      <xdr:row>29</xdr:row>
      <xdr:rowOff>0</xdr:rowOff>
    </xdr:to>
    <xdr:graphicFrame macro="">
      <xdr:nvGraphicFramePr>
        <xdr:cNvPr id="68"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200025</xdr:colOff>
      <xdr:row>29</xdr:row>
      <xdr:rowOff>0</xdr:rowOff>
    </xdr:from>
    <xdr:to>
      <xdr:col>2</xdr:col>
      <xdr:colOff>790575</xdr:colOff>
      <xdr:row>29</xdr:row>
      <xdr:rowOff>0</xdr:rowOff>
    </xdr:to>
    <xdr:graphicFrame macro="">
      <xdr:nvGraphicFramePr>
        <xdr:cNvPr id="6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161925</xdr:colOff>
      <xdr:row>29</xdr:row>
      <xdr:rowOff>0</xdr:rowOff>
    </xdr:from>
    <xdr:to>
      <xdr:col>2</xdr:col>
      <xdr:colOff>752475</xdr:colOff>
      <xdr:row>29</xdr:row>
      <xdr:rowOff>0</xdr:rowOff>
    </xdr:to>
    <xdr:graphicFrame macro="">
      <xdr:nvGraphicFramePr>
        <xdr:cNvPr id="70"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200025</xdr:colOff>
      <xdr:row>29</xdr:row>
      <xdr:rowOff>0</xdr:rowOff>
    </xdr:from>
    <xdr:to>
      <xdr:col>2</xdr:col>
      <xdr:colOff>790575</xdr:colOff>
      <xdr:row>29</xdr:row>
      <xdr:rowOff>0</xdr:rowOff>
    </xdr:to>
    <xdr:graphicFrame macro="">
      <xdr:nvGraphicFramePr>
        <xdr:cNvPr id="71"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7169"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0"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1"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2"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7173"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7174"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1.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8193"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4"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5"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6"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8197"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8198"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2.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7169"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0"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1"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2"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7173"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7174"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3.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8193"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4"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5"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6"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8197"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8198"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4.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2049"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0"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1"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2"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0.4776</cdr:x>
      <cdr:y>0</cdr:y>
    </cdr:from>
    <cdr:to>
      <cdr:x>0.48738</cdr:x>
      <cdr:y>1</cdr:y>
    </cdr:to>
    <cdr:sp macro="" textlink="">
      <cdr:nvSpPr>
        <cdr:cNvPr id="2053" name="Text Box 5"/>
        <cdr:cNvSpPr txBox="1">
          <a:spLocks xmlns:a="http://schemas.openxmlformats.org/drawingml/2006/main" noChangeArrowheads="1"/>
        </cdr:cNvSpPr>
      </cdr:nvSpPr>
      <cdr:spPr bwMode="auto">
        <a:xfrm xmlns:a="http://schemas.openxmlformats.org/drawingml/2006/main">
          <a:off x="905282"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0.4671</cdr:x>
      <cdr:y>0.53241</cdr:y>
    </cdr:from>
    <cdr:to>
      <cdr:x>0.49788</cdr:x>
      <cdr:y>0.70122</cdr:y>
    </cdr:to>
    <cdr:sp macro="" textlink="">
      <cdr:nvSpPr>
        <cdr:cNvPr id="2054" name="Text Box 6"/>
        <cdr:cNvSpPr txBox="1">
          <a:spLocks xmlns:a="http://schemas.openxmlformats.org/drawingml/2006/main" noChangeArrowheads="1"/>
        </cdr:cNvSpPr>
      </cdr:nvSpPr>
      <cdr:spPr bwMode="auto">
        <a:xfrm xmlns:a="http://schemas.openxmlformats.org/drawingml/2006/main">
          <a:off x="841727" y="393660"/>
          <a:ext cx="57222"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5.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4097"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098"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099"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100"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0.47808</cdr:x>
      <cdr:y>0</cdr:y>
    </cdr:from>
    <cdr:to>
      <cdr:x>0.48785</cdr:x>
      <cdr:y>1</cdr:y>
    </cdr:to>
    <cdr:sp macro="" textlink="">
      <cdr:nvSpPr>
        <cdr:cNvPr id="4101" name="Text Box 5"/>
        <cdr:cNvSpPr txBox="1">
          <a:spLocks xmlns:a="http://schemas.openxmlformats.org/drawingml/2006/main" noChangeArrowheads="1"/>
        </cdr:cNvSpPr>
      </cdr:nvSpPr>
      <cdr:spPr bwMode="auto">
        <a:xfrm xmlns:a="http://schemas.openxmlformats.org/drawingml/2006/main">
          <a:off x="906183"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0.46758</cdr:x>
      <cdr:y>0.53241</cdr:y>
    </cdr:from>
    <cdr:to>
      <cdr:x>0.49835</cdr:x>
      <cdr:y>0.70122</cdr:y>
    </cdr:to>
    <cdr:sp macro="" textlink="">
      <cdr:nvSpPr>
        <cdr:cNvPr id="4102" name="Text Box 6"/>
        <cdr:cNvSpPr txBox="1">
          <a:spLocks xmlns:a="http://schemas.openxmlformats.org/drawingml/2006/main" noChangeArrowheads="1"/>
        </cdr:cNvSpPr>
      </cdr:nvSpPr>
      <cdr:spPr bwMode="auto">
        <a:xfrm xmlns:a="http://schemas.openxmlformats.org/drawingml/2006/main">
          <a:off x="842575" y="393660"/>
          <a:ext cx="57222"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6.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11265"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6"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7"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8"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0.47879</cdr:x>
      <cdr:y>0</cdr:y>
    </cdr:from>
    <cdr:to>
      <cdr:x>0.48857</cdr:x>
      <cdr:y>1</cdr:y>
    </cdr:to>
    <cdr:sp macro="" textlink="">
      <cdr:nvSpPr>
        <cdr:cNvPr id="11269" name="Text Box 5"/>
        <cdr:cNvSpPr txBox="1">
          <a:spLocks xmlns:a="http://schemas.openxmlformats.org/drawingml/2006/main" noChangeArrowheads="1"/>
        </cdr:cNvSpPr>
      </cdr:nvSpPr>
      <cdr:spPr bwMode="auto">
        <a:xfrm xmlns:a="http://schemas.openxmlformats.org/drawingml/2006/main">
          <a:off x="907537"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0.46829</cdr:x>
      <cdr:y>0.53241</cdr:y>
    </cdr:from>
    <cdr:to>
      <cdr:x>0.49906</cdr:x>
      <cdr:y>0.70122</cdr:y>
    </cdr:to>
    <cdr:sp macro="" textlink="">
      <cdr:nvSpPr>
        <cdr:cNvPr id="11270" name="Text Box 6"/>
        <cdr:cNvSpPr txBox="1">
          <a:spLocks xmlns:a="http://schemas.openxmlformats.org/drawingml/2006/main" noChangeArrowheads="1"/>
        </cdr:cNvSpPr>
      </cdr:nvSpPr>
      <cdr:spPr bwMode="auto">
        <a:xfrm xmlns:a="http://schemas.openxmlformats.org/drawingml/2006/main">
          <a:off x="843847" y="393660"/>
          <a:ext cx="57221"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7.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12289"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0"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1"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2"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0.47879</cdr:x>
      <cdr:y>0</cdr:y>
    </cdr:from>
    <cdr:to>
      <cdr:x>0.48857</cdr:x>
      <cdr:y>1</cdr:y>
    </cdr:to>
    <cdr:sp macro="" textlink="">
      <cdr:nvSpPr>
        <cdr:cNvPr id="12293" name="Text Box 5"/>
        <cdr:cNvSpPr txBox="1">
          <a:spLocks xmlns:a="http://schemas.openxmlformats.org/drawingml/2006/main" noChangeArrowheads="1"/>
        </cdr:cNvSpPr>
      </cdr:nvSpPr>
      <cdr:spPr bwMode="auto">
        <a:xfrm xmlns:a="http://schemas.openxmlformats.org/drawingml/2006/main">
          <a:off x="907537"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0.46829</cdr:x>
      <cdr:y>0.53241</cdr:y>
    </cdr:from>
    <cdr:to>
      <cdr:x>0.49906</cdr:x>
      <cdr:y>0.70122</cdr:y>
    </cdr:to>
    <cdr:sp macro="" textlink="">
      <cdr:nvSpPr>
        <cdr:cNvPr id="12294" name="Text Box 6"/>
        <cdr:cNvSpPr txBox="1">
          <a:spLocks xmlns:a="http://schemas.openxmlformats.org/drawingml/2006/main" noChangeArrowheads="1"/>
        </cdr:cNvSpPr>
      </cdr:nvSpPr>
      <cdr:spPr bwMode="auto">
        <a:xfrm xmlns:a="http://schemas.openxmlformats.org/drawingml/2006/main">
          <a:off x="843847" y="393660"/>
          <a:ext cx="57221"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8.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7169"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0"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1"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2"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7173"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7174"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9.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8193"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4"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5"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6"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8197"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8198"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2049"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0"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1"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2"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0.4776</cdr:x>
      <cdr:y>0</cdr:y>
    </cdr:from>
    <cdr:to>
      <cdr:x>0.48738</cdr:x>
      <cdr:y>1</cdr:y>
    </cdr:to>
    <cdr:sp macro="" textlink="">
      <cdr:nvSpPr>
        <cdr:cNvPr id="2053" name="Text Box 5"/>
        <cdr:cNvSpPr txBox="1">
          <a:spLocks xmlns:a="http://schemas.openxmlformats.org/drawingml/2006/main" noChangeArrowheads="1"/>
        </cdr:cNvSpPr>
      </cdr:nvSpPr>
      <cdr:spPr bwMode="auto">
        <a:xfrm xmlns:a="http://schemas.openxmlformats.org/drawingml/2006/main">
          <a:off x="905282"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0.4671</cdr:x>
      <cdr:y>0.53241</cdr:y>
    </cdr:from>
    <cdr:to>
      <cdr:x>0.49788</cdr:x>
      <cdr:y>0.70122</cdr:y>
    </cdr:to>
    <cdr:sp macro="" textlink="">
      <cdr:nvSpPr>
        <cdr:cNvPr id="2054" name="Text Box 6"/>
        <cdr:cNvSpPr txBox="1">
          <a:spLocks xmlns:a="http://schemas.openxmlformats.org/drawingml/2006/main" noChangeArrowheads="1"/>
        </cdr:cNvSpPr>
      </cdr:nvSpPr>
      <cdr:spPr bwMode="auto">
        <a:xfrm xmlns:a="http://schemas.openxmlformats.org/drawingml/2006/main">
          <a:off x="841727" y="393660"/>
          <a:ext cx="57222"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0.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7169"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0"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1"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2"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7173"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7174"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1.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8193"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4"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5"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6"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8197"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8198"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2.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2049"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0"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1"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2"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0.4776</cdr:x>
      <cdr:y>0</cdr:y>
    </cdr:from>
    <cdr:to>
      <cdr:x>0.48738</cdr:x>
      <cdr:y>1</cdr:y>
    </cdr:to>
    <cdr:sp macro="" textlink="">
      <cdr:nvSpPr>
        <cdr:cNvPr id="2053" name="Text Box 5"/>
        <cdr:cNvSpPr txBox="1">
          <a:spLocks xmlns:a="http://schemas.openxmlformats.org/drawingml/2006/main" noChangeArrowheads="1"/>
        </cdr:cNvSpPr>
      </cdr:nvSpPr>
      <cdr:spPr bwMode="auto">
        <a:xfrm xmlns:a="http://schemas.openxmlformats.org/drawingml/2006/main">
          <a:off x="905282"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0.4671</cdr:x>
      <cdr:y>0.53241</cdr:y>
    </cdr:from>
    <cdr:to>
      <cdr:x>0.49788</cdr:x>
      <cdr:y>0.70122</cdr:y>
    </cdr:to>
    <cdr:sp macro="" textlink="">
      <cdr:nvSpPr>
        <cdr:cNvPr id="2054" name="Text Box 6"/>
        <cdr:cNvSpPr txBox="1">
          <a:spLocks xmlns:a="http://schemas.openxmlformats.org/drawingml/2006/main" noChangeArrowheads="1"/>
        </cdr:cNvSpPr>
      </cdr:nvSpPr>
      <cdr:spPr bwMode="auto">
        <a:xfrm xmlns:a="http://schemas.openxmlformats.org/drawingml/2006/main">
          <a:off x="841727" y="393660"/>
          <a:ext cx="57222"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3.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4097"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098"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099"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100"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0.47808</cdr:x>
      <cdr:y>0</cdr:y>
    </cdr:from>
    <cdr:to>
      <cdr:x>0.48785</cdr:x>
      <cdr:y>1</cdr:y>
    </cdr:to>
    <cdr:sp macro="" textlink="">
      <cdr:nvSpPr>
        <cdr:cNvPr id="4101" name="Text Box 5"/>
        <cdr:cNvSpPr txBox="1">
          <a:spLocks xmlns:a="http://schemas.openxmlformats.org/drawingml/2006/main" noChangeArrowheads="1"/>
        </cdr:cNvSpPr>
      </cdr:nvSpPr>
      <cdr:spPr bwMode="auto">
        <a:xfrm xmlns:a="http://schemas.openxmlformats.org/drawingml/2006/main">
          <a:off x="906183"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0.46758</cdr:x>
      <cdr:y>0.53241</cdr:y>
    </cdr:from>
    <cdr:to>
      <cdr:x>0.49835</cdr:x>
      <cdr:y>0.70122</cdr:y>
    </cdr:to>
    <cdr:sp macro="" textlink="">
      <cdr:nvSpPr>
        <cdr:cNvPr id="4102" name="Text Box 6"/>
        <cdr:cNvSpPr txBox="1">
          <a:spLocks xmlns:a="http://schemas.openxmlformats.org/drawingml/2006/main" noChangeArrowheads="1"/>
        </cdr:cNvSpPr>
      </cdr:nvSpPr>
      <cdr:spPr bwMode="auto">
        <a:xfrm xmlns:a="http://schemas.openxmlformats.org/drawingml/2006/main">
          <a:off x="842575" y="393660"/>
          <a:ext cx="57222"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4.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11265"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6"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7"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8"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0.47879</cdr:x>
      <cdr:y>0</cdr:y>
    </cdr:from>
    <cdr:to>
      <cdr:x>0.48857</cdr:x>
      <cdr:y>1</cdr:y>
    </cdr:to>
    <cdr:sp macro="" textlink="">
      <cdr:nvSpPr>
        <cdr:cNvPr id="11269" name="Text Box 5"/>
        <cdr:cNvSpPr txBox="1">
          <a:spLocks xmlns:a="http://schemas.openxmlformats.org/drawingml/2006/main" noChangeArrowheads="1"/>
        </cdr:cNvSpPr>
      </cdr:nvSpPr>
      <cdr:spPr bwMode="auto">
        <a:xfrm xmlns:a="http://schemas.openxmlformats.org/drawingml/2006/main">
          <a:off x="907537"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0.46829</cdr:x>
      <cdr:y>0.53241</cdr:y>
    </cdr:from>
    <cdr:to>
      <cdr:x>0.49906</cdr:x>
      <cdr:y>0.70122</cdr:y>
    </cdr:to>
    <cdr:sp macro="" textlink="">
      <cdr:nvSpPr>
        <cdr:cNvPr id="11270" name="Text Box 6"/>
        <cdr:cNvSpPr txBox="1">
          <a:spLocks xmlns:a="http://schemas.openxmlformats.org/drawingml/2006/main" noChangeArrowheads="1"/>
        </cdr:cNvSpPr>
      </cdr:nvSpPr>
      <cdr:spPr bwMode="auto">
        <a:xfrm xmlns:a="http://schemas.openxmlformats.org/drawingml/2006/main">
          <a:off x="843847" y="393660"/>
          <a:ext cx="57221"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5.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12289"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0"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1"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2"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0.47879</cdr:x>
      <cdr:y>0</cdr:y>
    </cdr:from>
    <cdr:to>
      <cdr:x>0.48857</cdr:x>
      <cdr:y>1</cdr:y>
    </cdr:to>
    <cdr:sp macro="" textlink="">
      <cdr:nvSpPr>
        <cdr:cNvPr id="12293" name="Text Box 5"/>
        <cdr:cNvSpPr txBox="1">
          <a:spLocks xmlns:a="http://schemas.openxmlformats.org/drawingml/2006/main" noChangeArrowheads="1"/>
        </cdr:cNvSpPr>
      </cdr:nvSpPr>
      <cdr:spPr bwMode="auto">
        <a:xfrm xmlns:a="http://schemas.openxmlformats.org/drawingml/2006/main">
          <a:off x="907537"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0.46829</cdr:x>
      <cdr:y>0.53241</cdr:y>
    </cdr:from>
    <cdr:to>
      <cdr:x>0.49906</cdr:x>
      <cdr:y>0.70122</cdr:y>
    </cdr:to>
    <cdr:sp macro="" textlink="">
      <cdr:nvSpPr>
        <cdr:cNvPr id="12294" name="Text Box 6"/>
        <cdr:cNvSpPr txBox="1">
          <a:spLocks xmlns:a="http://schemas.openxmlformats.org/drawingml/2006/main" noChangeArrowheads="1"/>
        </cdr:cNvSpPr>
      </cdr:nvSpPr>
      <cdr:spPr bwMode="auto">
        <a:xfrm xmlns:a="http://schemas.openxmlformats.org/drawingml/2006/main">
          <a:off x="843847" y="393660"/>
          <a:ext cx="57221"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6.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7169"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0"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1"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2"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7173"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7174"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7.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8193"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4"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5"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6"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8197"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8198"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8.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7169"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0"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1"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2"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7173"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7174"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29.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8193"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4"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5"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6"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8197"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8198"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3.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4097"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098"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099"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100"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0.47808</cdr:x>
      <cdr:y>0</cdr:y>
    </cdr:from>
    <cdr:to>
      <cdr:x>0.48785</cdr:x>
      <cdr:y>1</cdr:y>
    </cdr:to>
    <cdr:sp macro="" textlink="">
      <cdr:nvSpPr>
        <cdr:cNvPr id="4101" name="Text Box 5"/>
        <cdr:cNvSpPr txBox="1">
          <a:spLocks xmlns:a="http://schemas.openxmlformats.org/drawingml/2006/main" noChangeArrowheads="1"/>
        </cdr:cNvSpPr>
      </cdr:nvSpPr>
      <cdr:spPr bwMode="auto">
        <a:xfrm xmlns:a="http://schemas.openxmlformats.org/drawingml/2006/main">
          <a:off x="906183"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0.46758</cdr:x>
      <cdr:y>0.53241</cdr:y>
    </cdr:from>
    <cdr:to>
      <cdr:x>0.49835</cdr:x>
      <cdr:y>0.70122</cdr:y>
    </cdr:to>
    <cdr:sp macro="" textlink="">
      <cdr:nvSpPr>
        <cdr:cNvPr id="4102" name="Text Box 6"/>
        <cdr:cNvSpPr txBox="1">
          <a:spLocks xmlns:a="http://schemas.openxmlformats.org/drawingml/2006/main" noChangeArrowheads="1"/>
        </cdr:cNvSpPr>
      </cdr:nvSpPr>
      <cdr:spPr bwMode="auto">
        <a:xfrm xmlns:a="http://schemas.openxmlformats.org/drawingml/2006/main">
          <a:off x="842575" y="393660"/>
          <a:ext cx="57222"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30.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2049"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0"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1"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2052"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0.4776</cdr:x>
      <cdr:y>0</cdr:y>
    </cdr:from>
    <cdr:to>
      <cdr:x>0.48738</cdr:x>
      <cdr:y>1</cdr:y>
    </cdr:to>
    <cdr:sp macro="" textlink="">
      <cdr:nvSpPr>
        <cdr:cNvPr id="2053" name="Text Box 5"/>
        <cdr:cNvSpPr txBox="1">
          <a:spLocks xmlns:a="http://schemas.openxmlformats.org/drawingml/2006/main" noChangeArrowheads="1"/>
        </cdr:cNvSpPr>
      </cdr:nvSpPr>
      <cdr:spPr bwMode="auto">
        <a:xfrm xmlns:a="http://schemas.openxmlformats.org/drawingml/2006/main">
          <a:off x="905282"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0.4671</cdr:x>
      <cdr:y>0.53241</cdr:y>
    </cdr:from>
    <cdr:to>
      <cdr:x>0.49788</cdr:x>
      <cdr:y>0.70122</cdr:y>
    </cdr:to>
    <cdr:sp macro="" textlink="">
      <cdr:nvSpPr>
        <cdr:cNvPr id="2054" name="Text Box 6"/>
        <cdr:cNvSpPr txBox="1">
          <a:spLocks xmlns:a="http://schemas.openxmlformats.org/drawingml/2006/main" noChangeArrowheads="1"/>
        </cdr:cNvSpPr>
      </cdr:nvSpPr>
      <cdr:spPr bwMode="auto">
        <a:xfrm xmlns:a="http://schemas.openxmlformats.org/drawingml/2006/main">
          <a:off x="841727" y="393660"/>
          <a:ext cx="57222"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31.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4097"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098"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099"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4100"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0.47808</cdr:x>
      <cdr:y>0</cdr:y>
    </cdr:from>
    <cdr:to>
      <cdr:x>0.48785</cdr:x>
      <cdr:y>1</cdr:y>
    </cdr:to>
    <cdr:sp macro="" textlink="">
      <cdr:nvSpPr>
        <cdr:cNvPr id="4101" name="Text Box 5"/>
        <cdr:cNvSpPr txBox="1">
          <a:spLocks xmlns:a="http://schemas.openxmlformats.org/drawingml/2006/main" noChangeArrowheads="1"/>
        </cdr:cNvSpPr>
      </cdr:nvSpPr>
      <cdr:spPr bwMode="auto">
        <a:xfrm xmlns:a="http://schemas.openxmlformats.org/drawingml/2006/main">
          <a:off x="906183"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0.46758</cdr:x>
      <cdr:y>0.53241</cdr:y>
    </cdr:from>
    <cdr:to>
      <cdr:x>0.49835</cdr:x>
      <cdr:y>0.70122</cdr:y>
    </cdr:to>
    <cdr:sp macro="" textlink="">
      <cdr:nvSpPr>
        <cdr:cNvPr id="4102" name="Text Box 6"/>
        <cdr:cNvSpPr txBox="1">
          <a:spLocks xmlns:a="http://schemas.openxmlformats.org/drawingml/2006/main" noChangeArrowheads="1"/>
        </cdr:cNvSpPr>
      </cdr:nvSpPr>
      <cdr:spPr bwMode="auto">
        <a:xfrm xmlns:a="http://schemas.openxmlformats.org/drawingml/2006/main">
          <a:off x="842575" y="393660"/>
          <a:ext cx="57222"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32.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11265"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6"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7"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8"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0.47879</cdr:x>
      <cdr:y>0</cdr:y>
    </cdr:from>
    <cdr:to>
      <cdr:x>0.48857</cdr:x>
      <cdr:y>1</cdr:y>
    </cdr:to>
    <cdr:sp macro="" textlink="">
      <cdr:nvSpPr>
        <cdr:cNvPr id="11269" name="Text Box 5"/>
        <cdr:cNvSpPr txBox="1">
          <a:spLocks xmlns:a="http://schemas.openxmlformats.org/drawingml/2006/main" noChangeArrowheads="1"/>
        </cdr:cNvSpPr>
      </cdr:nvSpPr>
      <cdr:spPr bwMode="auto">
        <a:xfrm xmlns:a="http://schemas.openxmlformats.org/drawingml/2006/main">
          <a:off x="907537"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0.46829</cdr:x>
      <cdr:y>0.53241</cdr:y>
    </cdr:from>
    <cdr:to>
      <cdr:x>0.49906</cdr:x>
      <cdr:y>0.70122</cdr:y>
    </cdr:to>
    <cdr:sp macro="" textlink="">
      <cdr:nvSpPr>
        <cdr:cNvPr id="11270" name="Text Box 6"/>
        <cdr:cNvSpPr txBox="1">
          <a:spLocks xmlns:a="http://schemas.openxmlformats.org/drawingml/2006/main" noChangeArrowheads="1"/>
        </cdr:cNvSpPr>
      </cdr:nvSpPr>
      <cdr:spPr bwMode="auto">
        <a:xfrm xmlns:a="http://schemas.openxmlformats.org/drawingml/2006/main">
          <a:off x="843847" y="393660"/>
          <a:ext cx="57221"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33.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12289"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0"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1"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2"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0.47879</cdr:x>
      <cdr:y>0</cdr:y>
    </cdr:from>
    <cdr:to>
      <cdr:x>0.48857</cdr:x>
      <cdr:y>1</cdr:y>
    </cdr:to>
    <cdr:sp macro="" textlink="">
      <cdr:nvSpPr>
        <cdr:cNvPr id="12293" name="Text Box 5"/>
        <cdr:cNvSpPr txBox="1">
          <a:spLocks xmlns:a="http://schemas.openxmlformats.org/drawingml/2006/main" noChangeArrowheads="1"/>
        </cdr:cNvSpPr>
      </cdr:nvSpPr>
      <cdr:spPr bwMode="auto">
        <a:xfrm xmlns:a="http://schemas.openxmlformats.org/drawingml/2006/main">
          <a:off x="907537"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0.46829</cdr:x>
      <cdr:y>0.53241</cdr:y>
    </cdr:from>
    <cdr:to>
      <cdr:x>0.49906</cdr:x>
      <cdr:y>0.70122</cdr:y>
    </cdr:to>
    <cdr:sp macro="" textlink="">
      <cdr:nvSpPr>
        <cdr:cNvPr id="12294" name="Text Box 6"/>
        <cdr:cNvSpPr txBox="1">
          <a:spLocks xmlns:a="http://schemas.openxmlformats.org/drawingml/2006/main" noChangeArrowheads="1"/>
        </cdr:cNvSpPr>
      </cdr:nvSpPr>
      <cdr:spPr bwMode="auto">
        <a:xfrm xmlns:a="http://schemas.openxmlformats.org/drawingml/2006/main">
          <a:off x="843847" y="393660"/>
          <a:ext cx="57221"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4.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7169"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0"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1"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7172"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7173"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7174"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5.xml><?xml version="1.0" encoding="utf-8"?>
<c:userShapes xmlns:c="http://schemas.openxmlformats.org/drawingml/2006/chart">
  <cdr:relSizeAnchor xmlns:cdr="http://schemas.openxmlformats.org/drawingml/2006/chartDrawing">
    <cdr:from>
      <cdr:x>0.5</cdr:x>
      <cdr:y>0.57157</cdr:y>
    </cdr:from>
    <cdr:to>
      <cdr:x>0.51535</cdr:x>
      <cdr:y>0.74037</cdr:y>
    </cdr:to>
    <cdr:sp macro="" textlink="">
      <cdr:nvSpPr>
        <cdr:cNvPr id="8193" name="Text Box 1"/>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4" name="Text Box 2"/>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5" name="Text Box 3"/>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cdr:x>
      <cdr:y>0.57157</cdr:y>
    </cdr:from>
    <cdr:to>
      <cdr:x>0.51535</cdr:x>
      <cdr:y>0.74037</cdr:y>
    </cdr:to>
    <cdr:sp macro="" textlink="">
      <cdr:nvSpPr>
        <cdr:cNvPr id="8196" name="Text Box 4"/>
        <cdr:cNvSpPr txBox="1">
          <a:spLocks xmlns:a="http://schemas.openxmlformats.org/drawingml/2006/main" noChangeArrowheads="1"/>
        </cdr:cNvSpPr>
      </cdr:nvSpPr>
      <cdr:spPr bwMode="auto">
        <a:xfrm xmlns:a="http://schemas.openxmlformats.org/drawingml/2006/main">
          <a:off x="1860550" y="422377"/>
          <a:ext cx="5700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0.49028</cdr:x>
      <cdr:y>0</cdr:y>
    </cdr:from>
    <cdr:to>
      <cdr:x>0.49486</cdr:x>
      <cdr:y>1</cdr:y>
    </cdr:to>
    <cdr:sp macro="" textlink="">
      <cdr:nvSpPr>
        <cdr:cNvPr id="8197" name="Text Box 5"/>
        <cdr:cNvSpPr txBox="1">
          <a:spLocks xmlns:a="http://schemas.openxmlformats.org/drawingml/2006/main" noChangeArrowheads="1"/>
        </cdr:cNvSpPr>
      </cdr:nvSpPr>
      <cdr:spPr bwMode="auto">
        <a:xfrm xmlns:a="http://schemas.openxmlformats.org/drawingml/2006/main">
          <a:off x="198471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0.4849</cdr:x>
      <cdr:y>0.53241</cdr:y>
    </cdr:from>
    <cdr:to>
      <cdr:x>0.50024</cdr:x>
      <cdr:y>0.70122</cdr:y>
    </cdr:to>
    <cdr:sp macro="" textlink="">
      <cdr:nvSpPr>
        <cdr:cNvPr id="8198" name="Text Box 6"/>
        <cdr:cNvSpPr txBox="1">
          <a:spLocks xmlns:a="http://schemas.openxmlformats.org/drawingml/2006/main" noChangeArrowheads="1"/>
        </cdr:cNvSpPr>
      </cdr:nvSpPr>
      <cdr:spPr bwMode="auto">
        <a:xfrm xmlns:a="http://schemas.openxmlformats.org/drawingml/2006/main">
          <a:off x="1804448" y="393660"/>
          <a:ext cx="5700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6.xml><?xml version="1.0" encoding="utf-8"?>
<c:userShapes xmlns:c="http://schemas.openxmlformats.org/drawingml/2006/chart">
  <cdr:relSizeAnchor xmlns:cdr="http://schemas.openxmlformats.org/drawingml/2006/chartDrawing">
    <cdr:from>
      <cdr:x>0.50189</cdr:x>
      <cdr:y>0.57157</cdr:y>
    </cdr:from>
    <cdr:to>
      <cdr:x>0.53267</cdr:x>
      <cdr:y>0.74037</cdr:y>
    </cdr:to>
    <cdr:sp macro="" textlink="">
      <cdr:nvSpPr>
        <cdr:cNvPr id="9217" name="Text Box 1"/>
        <cdr:cNvSpPr txBox="1">
          <a:spLocks xmlns:a="http://schemas.openxmlformats.org/drawingml/2006/main" noChangeArrowheads="1"/>
        </cdr:cNvSpPr>
      </cdr:nvSpPr>
      <cdr:spPr bwMode="auto">
        <a:xfrm xmlns:a="http://schemas.openxmlformats.org/drawingml/2006/main">
          <a:off x="904992" y="422377"/>
          <a:ext cx="5711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0.50189</cdr:x>
      <cdr:y>0.57157</cdr:y>
    </cdr:from>
    <cdr:to>
      <cdr:x>0.53267</cdr:x>
      <cdr:y>0.74037</cdr:y>
    </cdr:to>
    <cdr:sp macro="" textlink="">
      <cdr:nvSpPr>
        <cdr:cNvPr id="9218" name="Text Box 2"/>
        <cdr:cNvSpPr txBox="1">
          <a:spLocks xmlns:a="http://schemas.openxmlformats.org/drawingml/2006/main" noChangeArrowheads="1"/>
        </cdr:cNvSpPr>
      </cdr:nvSpPr>
      <cdr:spPr bwMode="auto">
        <a:xfrm xmlns:a="http://schemas.openxmlformats.org/drawingml/2006/main">
          <a:off x="904992" y="422377"/>
          <a:ext cx="5711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0.50189</cdr:x>
      <cdr:y>0.57157</cdr:y>
    </cdr:from>
    <cdr:to>
      <cdr:x>0.53267</cdr:x>
      <cdr:y>0.74037</cdr:y>
    </cdr:to>
    <cdr:sp macro="" textlink="">
      <cdr:nvSpPr>
        <cdr:cNvPr id="9219" name="Text Box 3"/>
        <cdr:cNvSpPr txBox="1">
          <a:spLocks xmlns:a="http://schemas.openxmlformats.org/drawingml/2006/main" noChangeArrowheads="1"/>
        </cdr:cNvSpPr>
      </cdr:nvSpPr>
      <cdr:spPr bwMode="auto">
        <a:xfrm xmlns:a="http://schemas.openxmlformats.org/drawingml/2006/main">
          <a:off x="904992" y="422377"/>
          <a:ext cx="5711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0.50189</cdr:x>
      <cdr:y>0.57157</cdr:y>
    </cdr:from>
    <cdr:to>
      <cdr:x>0.53267</cdr:x>
      <cdr:y>0.74037</cdr:y>
    </cdr:to>
    <cdr:sp macro="" textlink="">
      <cdr:nvSpPr>
        <cdr:cNvPr id="9220" name="Text Box 4"/>
        <cdr:cNvSpPr txBox="1">
          <a:spLocks xmlns:a="http://schemas.openxmlformats.org/drawingml/2006/main" noChangeArrowheads="1"/>
        </cdr:cNvSpPr>
      </cdr:nvSpPr>
      <cdr:spPr bwMode="auto">
        <a:xfrm xmlns:a="http://schemas.openxmlformats.org/drawingml/2006/main">
          <a:off x="904992" y="422377"/>
          <a:ext cx="5711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0.48104</cdr:x>
      <cdr:y>0</cdr:y>
    </cdr:from>
    <cdr:to>
      <cdr:x>0.49077</cdr:x>
      <cdr:y>1</cdr:y>
    </cdr:to>
    <cdr:sp macro="" textlink="">
      <cdr:nvSpPr>
        <cdr:cNvPr id="9221" name="Text Box 5"/>
        <cdr:cNvSpPr txBox="1">
          <a:spLocks xmlns:a="http://schemas.openxmlformats.org/drawingml/2006/main" noChangeArrowheads="1"/>
        </cdr:cNvSpPr>
      </cdr:nvSpPr>
      <cdr:spPr bwMode="auto">
        <a:xfrm xmlns:a="http://schemas.openxmlformats.org/drawingml/2006/main">
          <a:off x="916383"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0.47063</cdr:x>
      <cdr:y>0.53241</cdr:y>
    </cdr:from>
    <cdr:to>
      <cdr:x>0.50118</cdr:x>
      <cdr:y>0.70122</cdr:y>
    </cdr:to>
    <cdr:sp macro="" textlink="">
      <cdr:nvSpPr>
        <cdr:cNvPr id="9222" name="Text Box 6"/>
        <cdr:cNvSpPr txBox="1">
          <a:spLocks xmlns:a="http://schemas.openxmlformats.org/drawingml/2006/main" noChangeArrowheads="1"/>
        </cdr:cNvSpPr>
      </cdr:nvSpPr>
      <cdr:spPr bwMode="auto">
        <a:xfrm xmlns:a="http://schemas.openxmlformats.org/drawingml/2006/main">
          <a:off x="846597" y="393660"/>
          <a:ext cx="57117"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7.xml><?xml version="1.0" encoding="utf-8"?>
<c:userShapes xmlns:c="http://schemas.openxmlformats.org/drawingml/2006/chart">
  <cdr:relSizeAnchor xmlns:cdr="http://schemas.openxmlformats.org/drawingml/2006/chartDrawing">
    <cdr:from>
      <cdr:x>0.50189</cdr:x>
      <cdr:y>0.57157</cdr:y>
    </cdr:from>
    <cdr:to>
      <cdr:x>0.53267</cdr:x>
      <cdr:y>0.74037</cdr:y>
    </cdr:to>
    <cdr:sp macro="" textlink="">
      <cdr:nvSpPr>
        <cdr:cNvPr id="10241" name="Text Box 1"/>
        <cdr:cNvSpPr txBox="1">
          <a:spLocks xmlns:a="http://schemas.openxmlformats.org/drawingml/2006/main" noChangeArrowheads="1"/>
        </cdr:cNvSpPr>
      </cdr:nvSpPr>
      <cdr:spPr bwMode="auto">
        <a:xfrm xmlns:a="http://schemas.openxmlformats.org/drawingml/2006/main">
          <a:off x="904992" y="422377"/>
          <a:ext cx="5711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0.50189</cdr:x>
      <cdr:y>0.57157</cdr:y>
    </cdr:from>
    <cdr:to>
      <cdr:x>0.53267</cdr:x>
      <cdr:y>0.74037</cdr:y>
    </cdr:to>
    <cdr:sp macro="" textlink="">
      <cdr:nvSpPr>
        <cdr:cNvPr id="10242" name="Text Box 2"/>
        <cdr:cNvSpPr txBox="1">
          <a:spLocks xmlns:a="http://schemas.openxmlformats.org/drawingml/2006/main" noChangeArrowheads="1"/>
        </cdr:cNvSpPr>
      </cdr:nvSpPr>
      <cdr:spPr bwMode="auto">
        <a:xfrm xmlns:a="http://schemas.openxmlformats.org/drawingml/2006/main">
          <a:off x="904992" y="422377"/>
          <a:ext cx="5711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0.50189</cdr:x>
      <cdr:y>0.57157</cdr:y>
    </cdr:from>
    <cdr:to>
      <cdr:x>0.53267</cdr:x>
      <cdr:y>0.74037</cdr:y>
    </cdr:to>
    <cdr:sp macro="" textlink="">
      <cdr:nvSpPr>
        <cdr:cNvPr id="10243" name="Text Box 3"/>
        <cdr:cNvSpPr txBox="1">
          <a:spLocks xmlns:a="http://schemas.openxmlformats.org/drawingml/2006/main" noChangeArrowheads="1"/>
        </cdr:cNvSpPr>
      </cdr:nvSpPr>
      <cdr:spPr bwMode="auto">
        <a:xfrm xmlns:a="http://schemas.openxmlformats.org/drawingml/2006/main">
          <a:off x="904992" y="422377"/>
          <a:ext cx="5711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0.50189</cdr:x>
      <cdr:y>0.57157</cdr:y>
    </cdr:from>
    <cdr:to>
      <cdr:x>0.53267</cdr:x>
      <cdr:y>0.74037</cdr:y>
    </cdr:to>
    <cdr:sp macro="" textlink="">
      <cdr:nvSpPr>
        <cdr:cNvPr id="10244" name="Text Box 4"/>
        <cdr:cNvSpPr txBox="1">
          <a:spLocks xmlns:a="http://schemas.openxmlformats.org/drawingml/2006/main" noChangeArrowheads="1"/>
        </cdr:cNvSpPr>
      </cdr:nvSpPr>
      <cdr:spPr bwMode="auto">
        <a:xfrm xmlns:a="http://schemas.openxmlformats.org/drawingml/2006/main">
          <a:off x="904992" y="422377"/>
          <a:ext cx="57117"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0.48151</cdr:x>
      <cdr:y>0</cdr:y>
    </cdr:from>
    <cdr:to>
      <cdr:x>0.49124</cdr:x>
      <cdr:y>1</cdr:y>
    </cdr:to>
    <cdr:sp macro="" textlink="">
      <cdr:nvSpPr>
        <cdr:cNvPr id="10245" name="Text Box 5"/>
        <cdr:cNvSpPr txBox="1">
          <a:spLocks xmlns:a="http://schemas.openxmlformats.org/drawingml/2006/main" noChangeArrowheads="1"/>
        </cdr:cNvSpPr>
      </cdr:nvSpPr>
      <cdr:spPr bwMode="auto">
        <a:xfrm xmlns:a="http://schemas.openxmlformats.org/drawingml/2006/main">
          <a:off x="917279"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0.4711</cdr:x>
      <cdr:y>0.53241</cdr:y>
    </cdr:from>
    <cdr:to>
      <cdr:x>0.50165</cdr:x>
      <cdr:y>0.70122</cdr:y>
    </cdr:to>
    <cdr:sp macro="" textlink="">
      <cdr:nvSpPr>
        <cdr:cNvPr id="10246" name="Text Box 6"/>
        <cdr:cNvSpPr txBox="1">
          <a:spLocks xmlns:a="http://schemas.openxmlformats.org/drawingml/2006/main" noChangeArrowheads="1"/>
        </cdr:cNvSpPr>
      </cdr:nvSpPr>
      <cdr:spPr bwMode="auto">
        <a:xfrm xmlns:a="http://schemas.openxmlformats.org/drawingml/2006/main">
          <a:off x="847450" y="393660"/>
          <a:ext cx="57116"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8.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11265"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6"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7"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1268"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0.47879</cdr:x>
      <cdr:y>0</cdr:y>
    </cdr:from>
    <cdr:to>
      <cdr:x>0.48857</cdr:x>
      <cdr:y>1</cdr:y>
    </cdr:to>
    <cdr:sp macro="" textlink="">
      <cdr:nvSpPr>
        <cdr:cNvPr id="11269" name="Text Box 5"/>
        <cdr:cNvSpPr txBox="1">
          <a:spLocks xmlns:a="http://schemas.openxmlformats.org/drawingml/2006/main" noChangeArrowheads="1"/>
        </cdr:cNvSpPr>
      </cdr:nvSpPr>
      <cdr:spPr bwMode="auto">
        <a:xfrm xmlns:a="http://schemas.openxmlformats.org/drawingml/2006/main">
          <a:off x="907537"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0.46829</cdr:x>
      <cdr:y>0.53241</cdr:y>
    </cdr:from>
    <cdr:to>
      <cdr:x>0.49906</cdr:x>
      <cdr:y>0.70122</cdr:y>
    </cdr:to>
    <cdr:sp macro="" textlink="">
      <cdr:nvSpPr>
        <cdr:cNvPr id="11270" name="Text Box 6"/>
        <cdr:cNvSpPr txBox="1">
          <a:spLocks xmlns:a="http://schemas.openxmlformats.org/drawingml/2006/main" noChangeArrowheads="1"/>
        </cdr:cNvSpPr>
      </cdr:nvSpPr>
      <cdr:spPr bwMode="auto">
        <a:xfrm xmlns:a="http://schemas.openxmlformats.org/drawingml/2006/main">
          <a:off x="843847" y="393660"/>
          <a:ext cx="57221"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xml><?xml version="1.0" encoding="utf-8"?>
<c:userShapes xmlns:c="http://schemas.openxmlformats.org/drawingml/2006/chart">
  <cdr:relSizeAnchor xmlns:cdr="http://schemas.openxmlformats.org/drawingml/2006/chartDrawing">
    <cdr:from>
      <cdr:x>0.49906</cdr:x>
      <cdr:y>0.57157</cdr:y>
    </cdr:from>
    <cdr:to>
      <cdr:x>0.52961</cdr:x>
      <cdr:y>0.74037</cdr:y>
    </cdr:to>
    <cdr:sp macro="" textlink="">
      <cdr:nvSpPr>
        <cdr:cNvPr id="12289" name="Text Box 1"/>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0" name="Text Box 2"/>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1" name="Text Box 3"/>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0.49906</cdr:x>
      <cdr:y>0.57157</cdr:y>
    </cdr:from>
    <cdr:to>
      <cdr:x>0.52961</cdr:x>
      <cdr:y>0.74037</cdr:y>
    </cdr:to>
    <cdr:sp macro="" textlink="">
      <cdr:nvSpPr>
        <cdr:cNvPr id="12292" name="Text Box 4"/>
        <cdr:cNvSpPr txBox="1">
          <a:spLocks xmlns:a="http://schemas.openxmlformats.org/drawingml/2006/main" noChangeArrowheads="1"/>
        </cdr:cNvSpPr>
      </cdr:nvSpPr>
      <cdr:spPr bwMode="auto">
        <a:xfrm xmlns:a="http://schemas.openxmlformats.org/drawingml/2006/main">
          <a:off x="901068" y="422377"/>
          <a:ext cx="57222" cy="1238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0.47879</cdr:x>
      <cdr:y>0</cdr:y>
    </cdr:from>
    <cdr:to>
      <cdr:x>0.48857</cdr:x>
      <cdr:y>1</cdr:y>
    </cdr:to>
    <cdr:sp macro="" textlink="">
      <cdr:nvSpPr>
        <cdr:cNvPr id="12293" name="Text Box 5"/>
        <cdr:cNvSpPr txBox="1">
          <a:spLocks xmlns:a="http://schemas.openxmlformats.org/drawingml/2006/main" noChangeArrowheads="1"/>
        </cdr:cNvSpPr>
      </cdr:nvSpPr>
      <cdr:spPr bwMode="auto">
        <a:xfrm xmlns:a="http://schemas.openxmlformats.org/drawingml/2006/main">
          <a:off x="907537" y="-70083"/>
          <a:ext cx="18531" cy="140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9144" tIns="18288" rIns="9144" bIns="18288" anchor="ctr" upright="1">
          <a:spAutoFit/>
        </a:bodyPr>
        <a:lstStyle xmlns:a="http://schemas.openxmlformats.org/drawingml/2006/main"/>
        <a:p xmlns:a="http://schemas.openxmlformats.org/drawingml/2006/main">
          <a:pPr algn="ctr" rtl="0">
            <a:defRPr sz="1000"/>
          </a:pPr>
          <a:endParaRPr lang="es-ES" sz="350" b="0" i="0" u="none" strike="noStrike" baseline="0">
            <a:solidFill>
              <a:srgbClr val="000000"/>
            </a:solidFill>
            <a:latin typeface="Arial"/>
            <a:cs typeface="Arial"/>
          </a:endParaRPr>
        </a:p>
        <a:p xmlns:a="http://schemas.openxmlformats.org/drawingml/2006/main">
          <a:pPr algn="ctr" rtl="0">
            <a:defRPr sz="1000"/>
          </a:pPr>
          <a:endParaRPr lang="es-ES" sz="350" b="0" i="0" u="none" strike="noStrike" baseline="0">
            <a:solidFill>
              <a:srgbClr val="000000"/>
            </a:solidFill>
            <a:latin typeface="Arial"/>
            <a:cs typeface="Arial"/>
          </a:endParaRPr>
        </a:p>
      </cdr:txBody>
    </cdr:sp>
  </cdr:relSizeAnchor>
  <cdr:relSizeAnchor xmlns:cdr="http://schemas.openxmlformats.org/drawingml/2006/chartDrawing">
    <cdr:from>
      <cdr:x>0.46829</cdr:x>
      <cdr:y>0.53241</cdr:y>
    </cdr:from>
    <cdr:to>
      <cdr:x>0.49906</cdr:x>
      <cdr:y>0.70122</cdr:y>
    </cdr:to>
    <cdr:sp macro="" textlink="">
      <cdr:nvSpPr>
        <cdr:cNvPr id="12294" name="Text Box 6"/>
        <cdr:cNvSpPr txBox="1">
          <a:spLocks xmlns:a="http://schemas.openxmlformats.org/drawingml/2006/main" noChangeArrowheads="1"/>
        </cdr:cNvSpPr>
      </cdr:nvSpPr>
      <cdr:spPr bwMode="auto">
        <a:xfrm xmlns:a="http://schemas.openxmlformats.org/drawingml/2006/main">
          <a:off x="843847" y="393660"/>
          <a:ext cx="57221" cy="1238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ALANCES%202016/INFORMES%20CHIP/INFORMES%20CHIP%20IV%20TRIMESTRE2014/CONTADURIA2010/INFORME%20CONTADURIA%20chip%20diciembre10/ESTADOS%20FINANCIEROS%202009/WINDOWS/TEMP/Informe%20Financiero%2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finan\Documentos%20c\Documents%20and%20Settings\Administrador\Mis%20documentos\WINDOWS\TEMP\Informe%20Financiero%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ios"/>
      <sheetName val="ConsolidMpios"/>
      <sheetName val="Hospitales"/>
      <sheetName val="consolidHospit"/>
      <sheetName val="institutos"/>
      <sheetName val="consolidinstitu"/>
      <sheetName val="contraloria"/>
      <sheetName val="consoli contr"/>
      <sheetName val="emp munici"/>
      <sheetName val="consoli empres"/>
      <sheetName val="aerop. institu"/>
      <sheetName val="consolid otros"/>
      <sheetName val="Depto"/>
      <sheetName val="GRAN CONSOLIDADO"/>
    </sheetNames>
    <sheetDataSet>
      <sheetData sheetId="0">
        <row r="25">
          <cell r="B25" t="str">
            <v xml:space="preserve"> </v>
          </cell>
          <cell r="C25" t="str">
            <v xml:space="preserve"> </v>
          </cell>
        </row>
        <row r="26">
          <cell r="A26" t="str">
            <v>INGRESOS OPERACIONALES</v>
          </cell>
          <cell r="B26">
            <v>3253883</v>
          </cell>
          <cell r="C26">
            <v>2112666</v>
          </cell>
        </row>
        <row r="27">
          <cell r="A27" t="str">
            <v>GASTOS</v>
          </cell>
        </row>
        <row r="28">
          <cell r="A28" t="str">
            <v>GASTOS OPERACIONALES</v>
          </cell>
          <cell r="B28">
            <v>3431994</v>
          </cell>
          <cell r="C28">
            <v>1174476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ios"/>
      <sheetName val="ConsolidMpios"/>
      <sheetName val="Hospitales"/>
      <sheetName val="consolidHospit"/>
      <sheetName val="institutos"/>
      <sheetName val="consolidinstitu"/>
      <sheetName val="contraloria"/>
      <sheetName val="consoli contr"/>
      <sheetName val="emp munici"/>
      <sheetName val="consoli empres"/>
      <sheetName val="aerop. institu"/>
      <sheetName val="consolid otros"/>
      <sheetName val="Depto"/>
      <sheetName val="GRAN CONSOLIDADO"/>
    </sheetNames>
    <sheetDataSet>
      <sheetData sheetId="0">
        <row r="25">
          <cell r="B25" t="str">
            <v xml:space="preserve"> </v>
          </cell>
          <cell r="C25" t="str">
            <v xml:space="preserve"> </v>
          </cell>
        </row>
        <row r="26">
          <cell r="A26" t="str">
            <v>INGRESOS OPERACIONALES</v>
          </cell>
          <cell r="B26">
            <v>3253883</v>
          </cell>
          <cell r="C26">
            <v>2112666</v>
          </cell>
        </row>
        <row r="27">
          <cell r="A27" t="str">
            <v>GASTOS</v>
          </cell>
        </row>
        <row r="28">
          <cell r="A28" t="str">
            <v>GASTOS OPERACIONALES</v>
          </cell>
          <cell r="B28">
            <v>3431994</v>
          </cell>
          <cell r="C28">
            <v>1174476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election activeCell="K10" sqref="K10"/>
    </sheetView>
  </sheetViews>
  <sheetFormatPr baseColWidth="10" defaultRowHeight="15" x14ac:dyDescent="0.25"/>
  <cols>
    <col min="1" max="1" width="9.5703125" customWidth="1"/>
    <col min="2" max="2" width="32.28515625" customWidth="1"/>
    <col min="3" max="3" width="5.140625" customWidth="1"/>
    <col min="4" max="4" width="19.5703125" customWidth="1"/>
    <col min="5" max="5" width="6.140625" customWidth="1"/>
    <col min="6" max="6" width="13.5703125" customWidth="1"/>
  </cols>
  <sheetData>
    <row r="1" spans="1:8" ht="18.75" x14ac:dyDescent="0.3">
      <c r="A1" s="159" t="s">
        <v>192</v>
      </c>
      <c r="B1" s="159"/>
      <c r="C1" s="159"/>
      <c r="D1" s="159"/>
      <c r="E1" s="159"/>
      <c r="F1" s="159"/>
    </row>
    <row r="2" spans="1:8" ht="18.75" x14ac:dyDescent="0.3">
      <c r="A2" s="160" t="s">
        <v>1</v>
      </c>
      <c r="B2" s="160"/>
      <c r="C2" s="160"/>
      <c r="D2" s="160"/>
      <c r="E2" s="160"/>
      <c r="F2" s="160"/>
    </row>
    <row r="3" spans="1:8" x14ac:dyDescent="0.25">
      <c r="A3" s="161" t="s">
        <v>193</v>
      </c>
      <c r="B3" s="161"/>
      <c r="C3" s="161"/>
      <c r="D3" s="161"/>
      <c r="E3" s="161"/>
      <c r="F3" s="161"/>
    </row>
    <row r="4" spans="1:8" x14ac:dyDescent="0.25">
      <c r="A4" s="162" t="s">
        <v>194</v>
      </c>
      <c r="B4" s="162"/>
      <c r="C4" s="162"/>
      <c r="D4" s="162"/>
      <c r="E4" s="162"/>
      <c r="F4" s="162"/>
    </row>
    <row r="5" spans="1:8" x14ac:dyDescent="0.25">
      <c r="A5" s="162" t="s">
        <v>206</v>
      </c>
      <c r="B5" s="162"/>
      <c r="C5" s="162"/>
      <c r="D5" s="162"/>
      <c r="E5" s="162"/>
      <c r="F5" s="162"/>
    </row>
    <row r="6" spans="1:8" x14ac:dyDescent="0.25">
      <c r="A6" s="14" t="s">
        <v>2</v>
      </c>
      <c r="B6" s="12" t="s">
        <v>3</v>
      </c>
      <c r="C6" s="12"/>
      <c r="D6" s="121" t="s">
        <v>20</v>
      </c>
      <c r="E6" s="121"/>
      <c r="F6" s="12"/>
    </row>
    <row r="7" spans="1:8" x14ac:dyDescent="0.25">
      <c r="A7" s="12"/>
      <c r="B7" s="12" t="s">
        <v>4</v>
      </c>
      <c r="C7" s="13"/>
      <c r="D7" s="13">
        <f>+D9+D10</f>
        <v>551914967.68000007</v>
      </c>
      <c r="E7" s="13"/>
      <c r="F7" s="13">
        <f>D7</f>
        <v>551914967.68000007</v>
      </c>
    </row>
    <row r="8" spans="1:8" x14ac:dyDescent="0.25">
      <c r="A8" s="14">
        <v>11</v>
      </c>
      <c r="B8" s="14" t="s">
        <v>5</v>
      </c>
      <c r="C8" s="15"/>
      <c r="D8" s="15">
        <v>0</v>
      </c>
      <c r="E8" s="15"/>
      <c r="F8" s="15"/>
    </row>
    <row r="9" spans="1:8" x14ac:dyDescent="0.25">
      <c r="A9" s="14"/>
      <c r="B9" s="14" t="s">
        <v>31</v>
      </c>
      <c r="C9" s="15"/>
      <c r="D9" s="15">
        <v>508986593.68000001</v>
      </c>
      <c r="E9" s="15"/>
      <c r="F9" s="15"/>
    </row>
    <row r="10" spans="1:8" x14ac:dyDescent="0.25">
      <c r="A10" s="14">
        <v>13</v>
      </c>
      <c r="B10" s="14" t="s">
        <v>6</v>
      </c>
      <c r="C10" s="15"/>
      <c r="D10" s="15">
        <v>42928374</v>
      </c>
      <c r="E10" s="15"/>
      <c r="F10" s="15"/>
    </row>
    <row r="11" spans="1:8" x14ac:dyDescent="0.25">
      <c r="A11" s="14"/>
      <c r="B11" s="12" t="s">
        <v>7</v>
      </c>
      <c r="C11" s="15"/>
      <c r="D11" s="15">
        <f>D12+D13+D14</f>
        <v>187014384.52000004</v>
      </c>
      <c r="E11" s="15"/>
      <c r="F11" s="15">
        <f>D11</f>
        <v>187014384.52000004</v>
      </c>
    </row>
    <row r="12" spans="1:8" x14ac:dyDescent="0.25">
      <c r="A12" s="14">
        <v>16</v>
      </c>
      <c r="B12" s="14" t="s">
        <v>8</v>
      </c>
      <c r="C12" s="15"/>
      <c r="D12" s="15">
        <f>218679299+22420923+149189484.15+148162449.83+17138000+26665822</f>
        <v>582255977.98000002</v>
      </c>
      <c r="E12" s="15"/>
      <c r="F12" s="15"/>
    </row>
    <row r="13" spans="1:8" x14ac:dyDescent="0.25">
      <c r="A13" s="14">
        <v>1685</v>
      </c>
      <c r="B13" s="14" t="s">
        <v>9</v>
      </c>
      <c r="C13" s="15"/>
      <c r="D13" s="15">
        <f>-401251793.08</f>
        <v>-401251793.07999998</v>
      </c>
      <c r="E13" s="15"/>
      <c r="F13" s="15"/>
    </row>
    <row r="14" spans="1:8" x14ac:dyDescent="0.25">
      <c r="A14" s="14">
        <v>19</v>
      </c>
      <c r="B14" s="14" t="s">
        <v>10</v>
      </c>
      <c r="C14" s="15"/>
      <c r="D14" s="15">
        <v>6010199.6200000001</v>
      </c>
      <c r="E14" s="15"/>
      <c r="F14" s="15"/>
    </row>
    <row r="15" spans="1:8" x14ac:dyDescent="0.25">
      <c r="A15" s="12"/>
      <c r="B15" s="12" t="s">
        <v>11</v>
      </c>
      <c r="C15" s="13"/>
      <c r="D15" s="13">
        <f>D7+D11</f>
        <v>738929352.20000005</v>
      </c>
      <c r="E15" s="13"/>
      <c r="F15" s="13">
        <f>D15</f>
        <v>738929352.20000005</v>
      </c>
      <c r="H15" t="s">
        <v>20</v>
      </c>
    </row>
    <row r="16" spans="1:8" x14ac:dyDescent="0.25">
      <c r="A16" s="14"/>
      <c r="B16" s="12" t="s">
        <v>12</v>
      </c>
      <c r="C16" s="15"/>
      <c r="D16" s="15"/>
      <c r="E16" s="15"/>
      <c r="F16" s="15"/>
    </row>
    <row r="17" spans="1:6" x14ac:dyDescent="0.25">
      <c r="A17" s="14"/>
      <c r="B17" s="12" t="s">
        <v>13</v>
      </c>
      <c r="C17" s="15"/>
      <c r="D17" s="15" t="s">
        <v>20</v>
      </c>
      <c r="E17" s="15"/>
      <c r="F17" s="15">
        <f>SUM(D18:D19)</f>
        <v>58968435</v>
      </c>
    </row>
    <row r="18" spans="1:6" x14ac:dyDescent="0.25">
      <c r="A18" s="14">
        <v>24</v>
      </c>
      <c r="B18" s="16" t="s">
        <v>14</v>
      </c>
      <c r="C18" s="15"/>
      <c r="D18" s="15">
        <v>46400245</v>
      </c>
      <c r="E18" s="15"/>
      <c r="F18" s="15"/>
    </row>
    <row r="19" spans="1:6" x14ac:dyDescent="0.25">
      <c r="A19" s="14">
        <v>25</v>
      </c>
      <c r="B19" s="16" t="s">
        <v>197</v>
      </c>
      <c r="C19" s="15"/>
      <c r="D19" s="15">
        <v>12568190</v>
      </c>
      <c r="E19" s="15"/>
      <c r="F19" s="15"/>
    </row>
    <row r="20" spans="1:6" x14ac:dyDescent="0.25">
      <c r="A20" s="14"/>
      <c r="B20" s="18" t="s">
        <v>7</v>
      </c>
      <c r="C20" s="15"/>
      <c r="D20" s="15"/>
      <c r="E20" s="15"/>
      <c r="F20" s="15">
        <f>D21</f>
        <v>272982890</v>
      </c>
    </row>
    <row r="21" spans="1:6" x14ac:dyDescent="0.25">
      <c r="A21" s="14">
        <v>27</v>
      </c>
      <c r="B21" s="14" t="s">
        <v>198</v>
      </c>
      <c r="C21" s="15"/>
      <c r="D21" s="15">
        <v>272982890</v>
      </c>
      <c r="E21" s="15"/>
      <c r="F21" s="15"/>
    </row>
    <row r="22" spans="1:6" x14ac:dyDescent="0.25">
      <c r="A22" s="12"/>
      <c r="B22" s="12" t="s">
        <v>19</v>
      </c>
      <c r="C22" s="13"/>
      <c r="D22" s="13" t="str">
        <f>D17</f>
        <v xml:space="preserve"> </v>
      </c>
      <c r="E22" s="13"/>
      <c r="F22" s="13">
        <f>F17+F20</f>
        <v>331951325</v>
      </c>
    </row>
    <row r="23" spans="1:6" x14ac:dyDescent="0.25">
      <c r="A23" s="12"/>
      <c r="B23" s="12" t="s">
        <v>15</v>
      </c>
      <c r="C23" s="13"/>
      <c r="D23" s="13">
        <f>D24+D25</f>
        <v>406978027.19999999</v>
      </c>
      <c r="E23" s="13"/>
      <c r="F23" s="13">
        <f>D23</f>
        <v>406978027.19999999</v>
      </c>
    </row>
    <row r="24" spans="1:6" x14ac:dyDescent="0.25">
      <c r="A24" s="14">
        <v>31</v>
      </c>
      <c r="B24" s="14" t="s">
        <v>16</v>
      </c>
      <c r="C24" s="15"/>
      <c r="D24" s="15">
        <v>310379674.07999998</v>
      </c>
      <c r="E24" s="15"/>
      <c r="F24" s="15"/>
    </row>
    <row r="25" spans="1:6" x14ac:dyDescent="0.25">
      <c r="A25" s="14">
        <v>31</v>
      </c>
      <c r="B25" s="14" t="s">
        <v>199</v>
      </c>
      <c r="C25" s="15"/>
      <c r="D25" s="15">
        <v>96598353.120000005</v>
      </c>
      <c r="E25" s="15"/>
      <c r="F25" s="15"/>
    </row>
    <row r="26" spans="1:6" x14ac:dyDescent="0.25">
      <c r="A26" s="14" t="s">
        <v>20</v>
      </c>
      <c r="B26" s="14" t="s">
        <v>20</v>
      </c>
      <c r="C26" s="15"/>
      <c r="D26" s="15" t="s">
        <v>20</v>
      </c>
      <c r="E26" s="15"/>
      <c r="F26" s="15"/>
    </row>
    <row r="27" spans="1:6" x14ac:dyDescent="0.25">
      <c r="A27" s="12"/>
      <c r="B27" s="12" t="s">
        <v>18</v>
      </c>
      <c r="C27" s="13"/>
      <c r="D27" s="13" t="s">
        <v>20</v>
      </c>
      <c r="E27" s="13"/>
      <c r="F27" s="13">
        <f>F22+F23</f>
        <v>738929352.20000005</v>
      </c>
    </row>
    <row r="28" spans="1:6" x14ac:dyDescent="0.25">
      <c r="A28" s="12"/>
      <c r="B28" s="12"/>
      <c r="C28" s="13"/>
      <c r="D28" s="13"/>
      <c r="E28" s="13"/>
      <c r="F28" s="13"/>
    </row>
    <row r="29" spans="1:6" x14ac:dyDescent="0.25">
      <c r="A29" s="12" t="s">
        <v>20</v>
      </c>
      <c r="B29" s="12" t="s">
        <v>203</v>
      </c>
      <c r="C29" s="13"/>
      <c r="D29" s="13"/>
      <c r="E29" s="13"/>
      <c r="F29" s="13"/>
    </row>
    <row r="30" spans="1:6" s="2" customFormat="1" x14ac:dyDescent="0.25">
      <c r="A30" s="16">
        <v>83</v>
      </c>
      <c r="B30" s="16" t="s">
        <v>200</v>
      </c>
      <c r="C30" s="17"/>
      <c r="D30" s="17">
        <v>1774084</v>
      </c>
      <c r="E30" s="17"/>
      <c r="F30" s="17"/>
    </row>
    <row r="31" spans="1:6" s="2" customFormat="1" x14ac:dyDescent="0.25">
      <c r="A31" s="16">
        <v>89</v>
      </c>
      <c r="B31" s="16" t="s">
        <v>201</v>
      </c>
      <c r="C31" s="17"/>
      <c r="D31" s="17"/>
      <c r="E31" s="17"/>
      <c r="F31" s="17">
        <v>-1784084</v>
      </c>
    </row>
    <row r="32" spans="1:6" x14ac:dyDescent="0.25">
      <c r="A32" s="12" t="s">
        <v>20</v>
      </c>
      <c r="B32" s="12" t="s">
        <v>204</v>
      </c>
      <c r="C32" s="13"/>
      <c r="D32" s="13"/>
      <c r="E32" s="13"/>
      <c r="F32" s="13" t="s">
        <v>20</v>
      </c>
    </row>
    <row r="33" spans="1:10" s="2" customFormat="1" x14ac:dyDescent="0.25">
      <c r="A33" s="16">
        <v>93</v>
      </c>
      <c r="B33" s="16" t="s">
        <v>202</v>
      </c>
      <c r="C33" s="17"/>
      <c r="D33" s="17">
        <v>42983000</v>
      </c>
      <c r="E33" s="17"/>
      <c r="F33" s="17"/>
    </row>
    <row r="34" spans="1:10" s="2" customFormat="1" x14ac:dyDescent="0.25">
      <c r="A34" s="16">
        <v>99</v>
      </c>
      <c r="B34" s="16" t="s">
        <v>205</v>
      </c>
      <c r="C34" s="17"/>
      <c r="D34" s="17">
        <v>-42983000</v>
      </c>
      <c r="E34" s="17"/>
      <c r="F34" s="17"/>
      <c r="J34" s="2" t="s">
        <v>20</v>
      </c>
    </row>
    <row r="35" spans="1:10" x14ac:dyDescent="0.25">
      <c r="A35" s="1"/>
      <c r="B35" s="1"/>
      <c r="C35" s="3"/>
      <c r="D35" s="3"/>
      <c r="E35" s="3"/>
      <c r="F35" s="3"/>
    </row>
    <row r="38" spans="1:10" x14ac:dyDescent="0.25">
      <c r="A38" s="1"/>
      <c r="B38" s="1" t="s">
        <v>195</v>
      </c>
      <c r="C38" s="1" t="s">
        <v>20</v>
      </c>
      <c r="D38" s="1" t="s">
        <v>30</v>
      </c>
    </row>
    <row r="39" spans="1:10" x14ac:dyDescent="0.25">
      <c r="B39" t="s">
        <v>196</v>
      </c>
      <c r="C39" t="s">
        <v>20</v>
      </c>
      <c r="D39" t="s">
        <v>34</v>
      </c>
    </row>
    <row r="40" spans="1:10" x14ac:dyDescent="0.25">
      <c r="D40" t="s">
        <v>35</v>
      </c>
    </row>
    <row r="42" spans="1:10" x14ac:dyDescent="0.25">
      <c r="B42" s="1" t="s">
        <v>20</v>
      </c>
      <c r="D42" t="s">
        <v>20</v>
      </c>
    </row>
    <row r="43" spans="1:10" x14ac:dyDescent="0.25">
      <c r="B43" t="s">
        <v>20</v>
      </c>
    </row>
    <row r="44" spans="1:10" x14ac:dyDescent="0.25">
      <c r="B44" t="s">
        <v>20</v>
      </c>
    </row>
  </sheetData>
  <mergeCells count="5">
    <mergeCell ref="A1:F1"/>
    <mergeCell ref="A2:F2"/>
    <mergeCell ref="A3:F3"/>
    <mergeCell ref="A4:F4"/>
    <mergeCell ref="A5:F5"/>
  </mergeCells>
  <pageMargins left="0.70866141732283472" right="0.70866141732283472" top="0.55118110236220474" bottom="0.55118110236220474"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G7" sqref="G7"/>
    </sheetView>
  </sheetViews>
  <sheetFormatPr baseColWidth="10" defaultRowHeight="15" x14ac:dyDescent="0.25"/>
  <cols>
    <col min="1" max="1" width="3.42578125" customWidth="1"/>
    <col min="2" max="2" width="9" customWidth="1"/>
    <col min="3" max="3" width="7.28515625" customWidth="1"/>
    <col min="4" max="4" width="52.85546875" customWidth="1"/>
    <col min="5" max="5" width="15" customWidth="1"/>
  </cols>
  <sheetData>
    <row r="1" spans="1:5" s="115" customFormat="1" ht="45" x14ac:dyDescent="0.25">
      <c r="A1" s="114" t="s">
        <v>115</v>
      </c>
      <c r="B1" s="110">
        <v>92500000</v>
      </c>
      <c r="C1" s="111">
        <v>11012</v>
      </c>
      <c r="D1" s="111">
        <v>2015</v>
      </c>
      <c r="E1" s="110" t="s">
        <v>116</v>
      </c>
    </row>
    <row r="2" spans="1:5" s="115" customFormat="1" ht="50.25" customHeight="1" x14ac:dyDescent="0.25">
      <c r="A2" s="114" t="s">
        <v>117</v>
      </c>
      <c r="B2" s="110" t="s">
        <v>118</v>
      </c>
      <c r="C2" s="114">
        <v>1</v>
      </c>
      <c r="D2" s="111" t="s">
        <v>119</v>
      </c>
      <c r="E2" s="110">
        <v>444294</v>
      </c>
    </row>
    <row r="3" spans="1:5" s="115" customFormat="1" ht="41.25" customHeight="1" x14ac:dyDescent="0.25">
      <c r="A3" s="114" t="s">
        <v>117</v>
      </c>
      <c r="B3" s="110" t="s">
        <v>120</v>
      </c>
      <c r="C3" s="114">
        <v>1</v>
      </c>
      <c r="D3" s="111" t="s">
        <v>121</v>
      </c>
      <c r="E3" s="110">
        <v>1027</v>
      </c>
    </row>
    <row r="4" spans="1:5" ht="87.75" customHeight="1" x14ac:dyDescent="0.25">
      <c r="A4" s="114" t="s">
        <v>117</v>
      </c>
      <c r="B4" s="109" t="s">
        <v>122</v>
      </c>
      <c r="C4" s="108">
        <v>1</v>
      </c>
      <c r="D4" s="112" t="s">
        <v>123</v>
      </c>
      <c r="E4" s="109">
        <v>21315</v>
      </c>
    </row>
    <row r="5" spans="1:5" s="115" customFormat="1" ht="57.75" customHeight="1" x14ac:dyDescent="0.25">
      <c r="A5" s="114" t="s">
        <v>117</v>
      </c>
      <c r="B5" s="110" t="s">
        <v>124</v>
      </c>
      <c r="C5" s="114">
        <v>1</v>
      </c>
      <c r="D5" s="112" t="s">
        <v>125</v>
      </c>
      <c r="E5" s="110">
        <v>9860</v>
      </c>
    </row>
    <row r="6" spans="1:5" s="115" customFormat="1" ht="85.5" customHeight="1" x14ac:dyDescent="0.25">
      <c r="A6" s="114" t="s">
        <v>117</v>
      </c>
      <c r="B6" s="110" t="s">
        <v>126</v>
      </c>
      <c r="C6" s="114">
        <v>1</v>
      </c>
      <c r="D6" s="112" t="s">
        <v>127</v>
      </c>
      <c r="E6" s="110">
        <v>15819</v>
      </c>
    </row>
    <row r="7" spans="1:5" s="115" customFormat="1" ht="103.5" customHeight="1" x14ac:dyDescent="0.25">
      <c r="A7" s="114" t="s">
        <v>117</v>
      </c>
      <c r="B7" s="110" t="s">
        <v>128</v>
      </c>
      <c r="C7" s="114">
        <v>1</v>
      </c>
      <c r="D7" s="112" t="s">
        <v>129</v>
      </c>
      <c r="E7" s="110">
        <v>10287</v>
      </c>
    </row>
    <row r="8" spans="1:5" s="115" customFormat="1" ht="45.75" customHeight="1" x14ac:dyDescent="0.25">
      <c r="A8" s="114" t="s">
        <v>117</v>
      </c>
      <c r="B8" s="110" t="s">
        <v>130</v>
      </c>
      <c r="C8" s="114">
        <v>1</v>
      </c>
      <c r="D8" s="113" t="s">
        <v>131</v>
      </c>
      <c r="E8" s="110">
        <v>25387</v>
      </c>
    </row>
    <row r="9" spans="1:5" s="115" customFormat="1" ht="221.25" customHeight="1" x14ac:dyDescent="0.25">
      <c r="A9" s="114" t="s">
        <v>117</v>
      </c>
      <c r="B9" s="110" t="s">
        <v>132</v>
      </c>
      <c r="C9" s="114">
        <v>1</v>
      </c>
      <c r="D9" s="116" t="s">
        <v>133</v>
      </c>
      <c r="E9" s="110">
        <v>57849</v>
      </c>
    </row>
    <row r="10" spans="1:5" s="115" customFormat="1" ht="75" x14ac:dyDescent="0.25">
      <c r="A10" s="114" t="s">
        <v>117</v>
      </c>
      <c r="B10" s="111" t="s">
        <v>134</v>
      </c>
      <c r="C10" s="114">
        <v>1</v>
      </c>
      <c r="D10" s="112" t="s">
        <v>135</v>
      </c>
      <c r="E10" s="110">
        <v>175369</v>
      </c>
    </row>
    <row r="11" spans="1:5" s="115" customFormat="1" ht="63.75" x14ac:dyDescent="0.25">
      <c r="A11" s="114" t="s">
        <v>117</v>
      </c>
      <c r="B11" s="111" t="s">
        <v>136</v>
      </c>
      <c r="C11" s="114">
        <v>1</v>
      </c>
      <c r="D11" s="113" t="s">
        <v>137</v>
      </c>
      <c r="E11" s="110">
        <v>1011364</v>
      </c>
    </row>
    <row r="12" spans="1:5" s="115" customFormat="1" ht="30" x14ac:dyDescent="0.25">
      <c r="A12" s="114" t="s">
        <v>117</v>
      </c>
      <c r="B12" s="111" t="s">
        <v>138</v>
      </c>
      <c r="C12" s="114">
        <v>1</v>
      </c>
      <c r="D12" s="112" t="s">
        <v>139</v>
      </c>
      <c r="E12" s="110">
        <v>110784</v>
      </c>
    </row>
    <row r="13" spans="1:5" s="115" customFormat="1" ht="38.25" x14ac:dyDescent="0.25">
      <c r="A13" s="114" t="s">
        <v>117</v>
      </c>
      <c r="B13" s="111" t="s">
        <v>140</v>
      </c>
      <c r="C13" s="114">
        <v>1</v>
      </c>
      <c r="D13" s="113" t="s">
        <v>141</v>
      </c>
      <c r="E13" s="110">
        <v>510</v>
      </c>
    </row>
    <row r="14" spans="1:5" s="115" customFormat="1" ht="30" x14ac:dyDescent="0.25">
      <c r="A14" s="114" t="s">
        <v>117</v>
      </c>
      <c r="B14" s="110" t="s">
        <v>142</v>
      </c>
      <c r="C14" s="114">
        <v>1</v>
      </c>
      <c r="D14" s="112" t="s">
        <v>143</v>
      </c>
      <c r="E14" s="110">
        <v>1774</v>
      </c>
    </row>
    <row r="15" spans="1:5" s="115" customFormat="1" ht="57.75" customHeight="1" x14ac:dyDescent="0.25">
      <c r="A15" s="114" t="s">
        <v>117</v>
      </c>
      <c r="B15" s="110" t="s">
        <v>144</v>
      </c>
      <c r="C15" s="114">
        <v>1</v>
      </c>
      <c r="D15" s="112" t="s">
        <v>145</v>
      </c>
      <c r="E15" s="110">
        <v>32480</v>
      </c>
    </row>
    <row r="16" spans="1:5" s="115" customFormat="1" ht="99" customHeight="1" x14ac:dyDescent="0.25">
      <c r="A16" s="114" t="s">
        <v>117</v>
      </c>
      <c r="B16" s="110" t="s">
        <v>146</v>
      </c>
      <c r="C16" s="114">
        <v>1</v>
      </c>
      <c r="D16" s="112" t="s">
        <v>147</v>
      </c>
      <c r="E16" s="110">
        <v>153796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8" workbookViewId="0">
      <selection activeCell="N29" sqref="N29"/>
    </sheetView>
  </sheetViews>
  <sheetFormatPr baseColWidth="10" defaultRowHeight="15" x14ac:dyDescent="0.25"/>
  <cols>
    <col min="1" max="1" width="7" customWidth="1"/>
    <col min="2" max="2" width="32.28515625" customWidth="1"/>
    <col min="3" max="3" width="5.140625" customWidth="1"/>
    <col min="4" max="4" width="19.5703125" customWidth="1"/>
    <col min="5" max="5" width="9.42578125" customWidth="1"/>
    <col min="6" max="6" width="31" customWidth="1"/>
    <col min="7" max="7" width="5.7109375" customWidth="1"/>
    <col min="8" max="8" width="14.28515625" customWidth="1"/>
  </cols>
  <sheetData>
    <row r="1" spans="1:8" ht="18.75" customHeight="1" x14ac:dyDescent="0.3">
      <c r="A1" s="163" t="s">
        <v>192</v>
      </c>
      <c r="B1" s="163"/>
      <c r="C1" s="163"/>
      <c r="D1" s="163"/>
      <c r="E1" s="163"/>
      <c r="F1" s="163"/>
      <c r="G1" s="163"/>
      <c r="H1" s="163"/>
    </row>
    <row r="2" spans="1:8" ht="18.75" x14ac:dyDescent="0.3">
      <c r="A2" s="160" t="s">
        <v>1</v>
      </c>
      <c r="B2" s="160"/>
      <c r="C2" s="160"/>
      <c r="D2" s="160"/>
      <c r="E2" s="160"/>
      <c r="F2" s="160"/>
      <c r="G2" s="160"/>
      <c r="H2" s="160"/>
    </row>
    <row r="3" spans="1:8" x14ac:dyDescent="0.25">
      <c r="A3" s="161" t="s">
        <v>193</v>
      </c>
      <c r="B3" s="161"/>
      <c r="C3" s="161"/>
      <c r="D3" s="161"/>
      <c r="E3" s="161"/>
      <c r="F3" s="161"/>
      <c r="G3" s="161"/>
      <c r="H3" s="161"/>
    </row>
    <row r="4" spans="1:8" x14ac:dyDescent="0.25">
      <c r="A4" s="162" t="s">
        <v>194</v>
      </c>
      <c r="B4" s="162"/>
      <c r="C4" s="162"/>
      <c r="D4" s="162"/>
      <c r="E4" s="162"/>
      <c r="F4" s="162"/>
      <c r="G4" s="162"/>
      <c r="H4" s="162"/>
    </row>
    <row r="5" spans="1:8" x14ac:dyDescent="0.25">
      <c r="A5" s="162" t="s">
        <v>206</v>
      </c>
      <c r="B5" s="162"/>
      <c r="C5" s="162"/>
      <c r="D5" s="162"/>
      <c r="E5" s="162"/>
      <c r="F5" s="162"/>
      <c r="G5" s="162"/>
      <c r="H5" s="162"/>
    </row>
    <row r="6" spans="1:8" x14ac:dyDescent="0.25">
      <c r="A6" s="136"/>
      <c r="B6" s="136"/>
      <c r="C6" s="136"/>
      <c r="D6" s="136"/>
      <c r="E6" s="136"/>
    </row>
    <row r="7" spans="1:8" x14ac:dyDescent="0.25">
      <c r="A7" s="136"/>
      <c r="B7" s="136"/>
      <c r="C7" s="136"/>
      <c r="D7" s="136"/>
      <c r="E7" s="136"/>
    </row>
    <row r="8" spans="1:8" x14ac:dyDescent="0.25">
      <c r="A8" s="136"/>
      <c r="B8" s="136"/>
      <c r="C8" s="136"/>
      <c r="D8" s="136"/>
      <c r="E8" s="136"/>
    </row>
    <row r="9" spans="1:8" x14ac:dyDescent="0.25">
      <c r="A9" s="136" t="s">
        <v>208</v>
      </c>
      <c r="B9" s="135" t="s">
        <v>3</v>
      </c>
      <c r="C9" s="12"/>
      <c r="D9" s="135" t="s">
        <v>20</v>
      </c>
      <c r="E9" s="136" t="s">
        <v>208</v>
      </c>
      <c r="F9" s="135" t="s">
        <v>209</v>
      </c>
      <c r="G9" s="15"/>
      <c r="H9" s="15"/>
    </row>
    <row r="10" spans="1:8" ht="15.75" thickBot="1" x14ac:dyDescent="0.3">
      <c r="A10" s="12"/>
      <c r="B10" s="12" t="s">
        <v>4</v>
      </c>
      <c r="C10" s="13" t="s">
        <v>207</v>
      </c>
      <c r="D10" s="139">
        <f>+D12+D13</f>
        <v>551914967.68000007</v>
      </c>
      <c r="E10" s="14"/>
      <c r="F10" s="12" t="s">
        <v>4</v>
      </c>
      <c r="G10" s="13" t="s">
        <v>207</v>
      </c>
      <c r="H10" s="142">
        <f>H11+H12</f>
        <v>58968435</v>
      </c>
    </row>
    <row r="11" spans="1:8" x14ac:dyDescent="0.25">
      <c r="A11" s="136">
        <v>11</v>
      </c>
      <c r="B11" s="14" t="s">
        <v>210</v>
      </c>
      <c r="C11" s="15"/>
      <c r="D11" s="15">
        <f>D12</f>
        <v>508986593.68000001</v>
      </c>
      <c r="E11" s="136">
        <v>24</v>
      </c>
      <c r="F11" s="16" t="s">
        <v>14</v>
      </c>
      <c r="G11" s="15"/>
      <c r="H11" s="15">
        <v>46400245</v>
      </c>
    </row>
    <row r="12" spans="1:8" x14ac:dyDescent="0.25">
      <c r="A12" s="136">
        <v>1110</v>
      </c>
      <c r="B12" s="14" t="s">
        <v>31</v>
      </c>
      <c r="C12" s="15"/>
      <c r="D12" s="15">
        <v>508986593.68000001</v>
      </c>
      <c r="E12" s="136">
        <v>25</v>
      </c>
      <c r="F12" s="16" t="s">
        <v>197</v>
      </c>
      <c r="G12" s="15"/>
      <c r="H12" s="15">
        <v>12568190</v>
      </c>
    </row>
    <row r="13" spans="1:8" ht="15.75" thickBot="1" x14ac:dyDescent="0.3">
      <c r="A13" s="136">
        <v>13</v>
      </c>
      <c r="B13" s="14" t="s">
        <v>211</v>
      </c>
      <c r="C13" s="15"/>
      <c r="D13" s="15">
        <v>42928374</v>
      </c>
      <c r="E13" s="136"/>
      <c r="F13" s="18" t="s">
        <v>7</v>
      </c>
      <c r="G13" s="15" t="s">
        <v>207</v>
      </c>
      <c r="H13" s="99">
        <f>H14</f>
        <v>272982890</v>
      </c>
    </row>
    <row r="14" spans="1:8" x14ac:dyDescent="0.25">
      <c r="A14" s="136">
        <v>1317</v>
      </c>
      <c r="B14" s="20" t="s">
        <v>212</v>
      </c>
      <c r="C14" s="15"/>
      <c r="D14" s="15">
        <v>42928374</v>
      </c>
      <c r="E14" s="136">
        <v>27</v>
      </c>
      <c r="F14" s="14" t="s">
        <v>198</v>
      </c>
      <c r="G14" s="15"/>
      <c r="H14" s="15">
        <v>272982890</v>
      </c>
    </row>
    <row r="15" spans="1:8" ht="15.75" thickBot="1" x14ac:dyDescent="0.3">
      <c r="A15" s="136"/>
      <c r="B15" s="12" t="s">
        <v>7</v>
      </c>
      <c r="C15" s="13" t="s">
        <v>207</v>
      </c>
      <c r="D15" s="99">
        <f>D16+D17+D18</f>
        <v>187014384.52000004</v>
      </c>
      <c r="E15" s="135"/>
      <c r="F15" s="12" t="s">
        <v>19</v>
      </c>
      <c r="G15" s="13" t="s">
        <v>207</v>
      </c>
      <c r="H15" s="13">
        <f>H10+H13</f>
        <v>331951325</v>
      </c>
    </row>
    <row r="16" spans="1:8" x14ac:dyDescent="0.25">
      <c r="A16" s="136">
        <v>16</v>
      </c>
      <c r="B16" s="14" t="s">
        <v>8</v>
      </c>
      <c r="C16" s="15"/>
      <c r="D16" s="15">
        <f>218679299+22420923+149189484.15+148162449.83+17138000+26665822</f>
        <v>582255977.98000002</v>
      </c>
      <c r="E16" s="135"/>
      <c r="F16" s="12" t="s">
        <v>15</v>
      </c>
      <c r="G16" s="13" t="s">
        <v>207</v>
      </c>
      <c r="H16" s="13">
        <f>H17+H18</f>
        <v>406978027.19999999</v>
      </c>
    </row>
    <row r="17" spans="1:8" x14ac:dyDescent="0.25">
      <c r="A17" s="136">
        <v>1685</v>
      </c>
      <c r="B17" s="14" t="s">
        <v>9</v>
      </c>
      <c r="C17" s="15"/>
      <c r="D17" s="15">
        <f>-401251793.08</f>
        <v>-401251793.07999998</v>
      </c>
      <c r="E17" s="136">
        <v>3105</v>
      </c>
      <c r="F17" s="14" t="s">
        <v>16</v>
      </c>
      <c r="G17" s="15"/>
      <c r="H17" s="15">
        <v>310379674.07999998</v>
      </c>
    </row>
    <row r="18" spans="1:8" ht="15.75" thickBot="1" x14ac:dyDescent="0.3">
      <c r="A18" s="136">
        <v>19</v>
      </c>
      <c r="B18" s="14" t="s">
        <v>10</v>
      </c>
      <c r="C18" s="15"/>
      <c r="D18" s="15">
        <v>6010199.6200000001</v>
      </c>
      <c r="E18" s="136">
        <v>3110</v>
      </c>
      <c r="F18" s="14" t="s">
        <v>199</v>
      </c>
      <c r="G18" s="15"/>
      <c r="H18" s="15">
        <v>96598353.120000005</v>
      </c>
    </row>
    <row r="19" spans="1:8" ht="15.75" thickBot="1" x14ac:dyDescent="0.3">
      <c r="A19" s="135"/>
      <c r="B19" s="12" t="s">
        <v>11</v>
      </c>
      <c r="C19" s="13" t="s">
        <v>207</v>
      </c>
      <c r="D19" s="140">
        <f>D10+D15</f>
        <v>738929352.20000005</v>
      </c>
      <c r="E19" s="136"/>
      <c r="F19" s="12" t="s">
        <v>18</v>
      </c>
      <c r="G19" s="143" t="s">
        <v>207</v>
      </c>
      <c r="H19" s="140">
        <f>H15+H16</f>
        <v>738929352.20000005</v>
      </c>
    </row>
    <row r="20" spans="1:8" ht="15.75" thickTop="1" x14ac:dyDescent="0.25">
      <c r="A20" s="135"/>
      <c r="B20" s="12"/>
      <c r="C20" s="13"/>
      <c r="D20" s="13"/>
      <c r="E20" s="136"/>
      <c r="F20" s="12" t="s">
        <v>20</v>
      </c>
      <c r="G20" s="15"/>
      <c r="H20" s="15"/>
    </row>
    <row r="21" spans="1:8" x14ac:dyDescent="0.25">
      <c r="A21" s="135"/>
      <c r="B21" s="12"/>
      <c r="C21" s="13"/>
      <c r="D21" s="13"/>
      <c r="E21" s="136"/>
      <c r="F21" s="14"/>
      <c r="G21" s="15"/>
      <c r="H21" s="15"/>
    </row>
    <row r="22" spans="1:8" x14ac:dyDescent="0.25">
      <c r="A22" s="135" t="s">
        <v>20</v>
      </c>
      <c r="B22" s="12" t="s">
        <v>203</v>
      </c>
      <c r="C22" s="13"/>
      <c r="D22" s="13"/>
      <c r="E22" s="135" t="s">
        <v>20</v>
      </c>
      <c r="F22" s="12" t="s">
        <v>204</v>
      </c>
      <c r="G22" s="13"/>
      <c r="H22" s="13"/>
    </row>
    <row r="23" spans="1:8" x14ac:dyDescent="0.25">
      <c r="A23" s="141">
        <v>83</v>
      </c>
      <c r="B23" s="16" t="s">
        <v>200</v>
      </c>
      <c r="C23" s="17"/>
      <c r="D23" s="17">
        <v>1774084</v>
      </c>
      <c r="E23" s="141">
        <v>93</v>
      </c>
      <c r="F23" s="16" t="s">
        <v>202</v>
      </c>
      <c r="G23" s="17"/>
      <c r="H23" s="17">
        <v>42983000</v>
      </c>
    </row>
    <row r="24" spans="1:8" x14ac:dyDescent="0.25">
      <c r="A24" s="141">
        <v>89</v>
      </c>
      <c r="B24" s="16" t="s">
        <v>201</v>
      </c>
      <c r="C24" s="17"/>
      <c r="D24" s="17">
        <v>1784084</v>
      </c>
      <c r="E24" s="141">
        <v>99</v>
      </c>
      <c r="F24" s="16" t="s">
        <v>205</v>
      </c>
      <c r="G24" s="17"/>
      <c r="H24" s="17">
        <v>-42983000</v>
      </c>
    </row>
    <row r="25" spans="1:8" x14ac:dyDescent="0.25">
      <c r="A25" s="135"/>
      <c r="B25" s="12"/>
      <c r="C25" s="13"/>
      <c r="D25" s="13"/>
      <c r="E25" s="136"/>
      <c r="F25" s="14"/>
      <c r="G25" s="15"/>
      <c r="H25" s="15"/>
    </row>
    <row r="26" spans="1:8" x14ac:dyDescent="0.25">
      <c r="A26" s="135"/>
      <c r="B26" s="12"/>
      <c r="C26" s="13"/>
      <c r="D26" s="13"/>
      <c r="E26" s="136"/>
      <c r="F26" s="14"/>
      <c r="G26" s="15"/>
      <c r="H26" s="15"/>
    </row>
    <row r="27" spans="1:8" x14ac:dyDescent="0.25">
      <c r="A27" s="135"/>
      <c r="B27" s="12"/>
      <c r="C27" s="13"/>
      <c r="D27" s="13"/>
      <c r="E27" s="136"/>
      <c r="F27" s="14"/>
      <c r="G27" s="15"/>
      <c r="H27" s="15"/>
    </row>
    <row r="28" spans="1:8" x14ac:dyDescent="0.25">
      <c r="A28" s="135"/>
      <c r="B28" s="12"/>
      <c r="C28" s="13"/>
      <c r="D28" s="13"/>
      <c r="E28" s="136"/>
      <c r="F28" s="14"/>
      <c r="G28" s="15"/>
      <c r="H28" s="15"/>
    </row>
    <row r="29" spans="1:8" x14ac:dyDescent="0.25">
      <c r="A29" s="135"/>
      <c r="B29" s="1" t="s">
        <v>195</v>
      </c>
      <c r="C29" s="13"/>
      <c r="D29" s="13"/>
      <c r="E29" s="136"/>
      <c r="F29" s="1" t="s">
        <v>30</v>
      </c>
    </row>
    <row r="30" spans="1:8" x14ac:dyDescent="0.25">
      <c r="A30" s="136"/>
      <c r="B30" t="s">
        <v>196</v>
      </c>
      <c r="C30" s="15"/>
      <c r="D30" s="15"/>
      <c r="E30" s="136" t="s">
        <v>20</v>
      </c>
      <c r="F30" t="s">
        <v>34</v>
      </c>
    </row>
    <row r="31" spans="1:8" x14ac:dyDescent="0.25">
      <c r="A31" s="1"/>
      <c r="B31" s="1"/>
      <c r="C31" s="3"/>
      <c r="D31" s="3"/>
      <c r="E31" s="3"/>
    </row>
    <row r="35" spans="2:4" x14ac:dyDescent="0.25">
      <c r="B35" s="1" t="s">
        <v>20</v>
      </c>
      <c r="D35" t="s">
        <v>20</v>
      </c>
    </row>
    <row r="36" spans="2:4" x14ac:dyDescent="0.25">
      <c r="B36" t="s">
        <v>20</v>
      </c>
    </row>
    <row r="37" spans="2:4" x14ac:dyDescent="0.25">
      <c r="B37" t="s">
        <v>20</v>
      </c>
    </row>
  </sheetData>
  <mergeCells count="5">
    <mergeCell ref="A1:H1"/>
    <mergeCell ref="A2:H2"/>
    <mergeCell ref="A3:H3"/>
    <mergeCell ref="A4:H4"/>
    <mergeCell ref="A5:H5"/>
  </mergeCells>
  <pageMargins left="0.11811023622047245" right="0.11811023622047245" top="0.55118110236220474" bottom="0.55118110236220474"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topLeftCell="A16" workbookViewId="0">
      <selection activeCell="H25" sqref="H25"/>
    </sheetView>
  </sheetViews>
  <sheetFormatPr baseColWidth="10" defaultRowHeight="15" x14ac:dyDescent="0.25"/>
  <cols>
    <col min="1" max="1" width="7.140625" customWidth="1"/>
    <col min="2" max="2" width="54.7109375" customWidth="1"/>
    <col min="3" max="3" width="26" customWidth="1"/>
    <col min="4" max="4" width="26.140625" customWidth="1"/>
  </cols>
  <sheetData>
    <row r="1" spans="1:4" ht="15.75" x14ac:dyDescent="0.25">
      <c r="A1" s="165" t="s">
        <v>27</v>
      </c>
      <c r="B1" s="165"/>
      <c r="C1" s="165"/>
      <c r="D1" s="165"/>
    </row>
    <row r="2" spans="1:4" ht="15.75" x14ac:dyDescent="0.25">
      <c r="A2" s="165" t="s">
        <v>214</v>
      </c>
      <c r="B2" s="165"/>
      <c r="C2" s="165"/>
      <c r="D2" s="165"/>
    </row>
    <row r="3" spans="1:4" x14ac:dyDescent="0.25">
      <c r="A3" s="166" t="s">
        <v>213</v>
      </c>
      <c r="B3" s="166"/>
      <c r="C3" s="166"/>
      <c r="D3" s="166"/>
    </row>
    <row r="4" spans="1:4" x14ac:dyDescent="0.25">
      <c r="A4" s="166" t="s">
        <v>215</v>
      </c>
      <c r="B4" s="166"/>
      <c r="C4" s="166"/>
      <c r="D4" s="166"/>
    </row>
    <row r="5" spans="1:4" x14ac:dyDescent="0.25">
      <c r="A5" s="166" t="s">
        <v>216</v>
      </c>
      <c r="B5" s="166"/>
      <c r="C5" s="166"/>
      <c r="D5" s="166"/>
    </row>
    <row r="6" spans="1:4" x14ac:dyDescent="0.25">
      <c r="A6" s="144" t="s">
        <v>208</v>
      </c>
      <c r="B6" s="122"/>
      <c r="C6" s="137"/>
      <c r="D6" s="122"/>
    </row>
    <row r="7" spans="1:4" x14ac:dyDescent="0.25">
      <c r="A7" s="145">
        <v>4</v>
      </c>
      <c r="B7" s="146" t="s">
        <v>225</v>
      </c>
      <c r="C7" s="147" t="s">
        <v>207</v>
      </c>
      <c r="D7" s="148">
        <f>D8+D12+D14+D16</f>
        <v>5275833734</v>
      </c>
    </row>
    <row r="8" spans="1:4" s="1" customFormat="1" x14ac:dyDescent="0.25">
      <c r="A8" s="145">
        <v>43</v>
      </c>
      <c r="B8" s="146" t="s">
        <v>238</v>
      </c>
      <c r="C8" s="146"/>
      <c r="D8" s="149">
        <f>SUM(D9:D11)</f>
        <v>138087297</v>
      </c>
    </row>
    <row r="9" spans="1:4" x14ac:dyDescent="0.25">
      <c r="A9" s="150">
        <v>4305</v>
      </c>
      <c r="B9" s="151" t="s">
        <v>218</v>
      </c>
      <c r="C9" s="151"/>
      <c r="D9" s="152">
        <v>10118345</v>
      </c>
    </row>
    <row r="10" spans="1:4" x14ac:dyDescent="0.25">
      <c r="A10" s="150">
        <v>4311</v>
      </c>
      <c r="B10" s="151" t="s">
        <v>219</v>
      </c>
      <c r="C10" s="151"/>
      <c r="D10" s="152">
        <v>15211126</v>
      </c>
    </row>
    <row r="11" spans="1:4" x14ac:dyDescent="0.25">
      <c r="A11" s="150">
        <v>4390</v>
      </c>
      <c r="B11" s="151" t="s">
        <v>220</v>
      </c>
      <c r="C11" s="151"/>
      <c r="D11" s="152">
        <v>112757826</v>
      </c>
    </row>
    <row r="12" spans="1:4" s="1" customFormat="1" x14ac:dyDescent="0.25">
      <c r="A12" s="145">
        <v>44</v>
      </c>
      <c r="B12" s="146" t="s">
        <v>221</v>
      </c>
      <c r="C12" s="146"/>
      <c r="D12" s="149">
        <f>D13</f>
        <v>5071352507</v>
      </c>
    </row>
    <row r="13" spans="1:4" x14ac:dyDescent="0.25">
      <c r="A13" s="150">
        <v>4428</v>
      </c>
      <c r="B13" s="151" t="s">
        <v>222</v>
      </c>
      <c r="C13" s="151"/>
      <c r="D13" s="152">
        <v>5071352507</v>
      </c>
    </row>
    <row r="14" spans="1:4" s="1" customFormat="1" x14ac:dyDescent="0.25">
      <c r="A14" s="145">
        <v>47</v>
      </c>
      <c r="B14" s="146" t="s">
        <v>223</v>
      </c>
      <c r="C14" s="146"/>
      <c r="D14" s="149">
        <f>D15</f>
        <v>58093615</v>
      </c>
    </row>
    <row r="15" spans="1:4" s="2" customFormat="1" x14ac:dyDescent="0.25">
      <c r="A15" s="150">
        <v>4705</v>
      </c>
      <c r="B15" s="151" t="s">
        <v>224</v>
      </c>
      <c r="C15" s="151"/>
      <c r="D15" s="152">
        <v>58093615</v>
      </c>
    </row>
    <row r="16" spans="1:4" s="1" customFormat="1" x14ac:dyDescent="0.25">
      <c r="A16" s="145">
        <v>48</v>
      </c>
      <c r="B16" s="146" t="s">
        <v>22</v>
      </c>
      <c r="C16" s="146"/>
      <c r="D16" s="149">
        <f>D17+D18</f>
        <v>8300315</v>
      </c>
    </row>
    <row r="17" spans="1:4" s="2" customFormat="1" x14ac:dyDescent="0.25">
      <c r="A17" s="153">
        <v>4802</v>
      </c>
      <c r="B17" s="25" t="s">
        <v>226</v>
      </c>
      <c r="C17" s="25"/>
      <c r="D17" s="154">
        <v>2556174</v>
      </c>
    </row>
    <row r="18" spans="1:4" s="2" customFormat="1" x14ac:dyDescent="0.25">
      <c r="A18" s="153">
        <v>4808</v>
      </c>
      <c r="B18" s="25" t="s">
        <v>227</v>
      </c>
      <c r="C18" s="25"/>
      <c r="D18" s="154">
        <v>5744141</v>
      </c>
    </row>
    <row r="19" spans="1:4" s="2" customFormat="1" x14ac:dyDescent="0.25">
      <c r="A19" s="153"/>
      <c r="B19" s="32" t="s">
        <v>25</v>
      </c>
      <c r="C19" s="131" t="s">
        <v>207</v>
      </c>
      <c r="D19" s="154">
        <f>D20</f>
        <v>1666000</v>
      </c>
    </row>
    <row r="20" spans="1:4" s="2" customFormat="1" x14ac:dyDescent="0.25">
      <c r="A20" s="153">
        <v>63</v>
      </c>
      <c r="B20" s="25" t="s">
        <v>228</v>
      </c>
      <c r="C20" s="131"/>
      <c r="D20" s="154">
        <v>1666000</v>
      </c>
    </row>
    <row r="21" spans="1:4" x14ac:dyDescent="0.25">
      <c r="A21" s="145">
        <v>5</v>
      </c>
      <c r="B21" s="146" t="s">
        <v>23</v>
      </c>
      <c r="C21" s="147" t="s">
        <v>207</v>
      </c>
      <c r="D21" s="148">
        <f>SUM(D22:D32)</f>
        <v>5177569381</v>
      </c>
    </row>
    <row r="22" spans="1:4" x14ac:dyDescent="0.25">
      <c r="A22" s="150">
        <v>5101</v>
      </c>
      <c r="B22" s="151" t="s">
        <v>229</v>
      </c>
      <c r="C22" s="151"/>
      <c r="D22" s="152">
        <v>1281036370</v>
      </c>
    </row>
    <row r="23" spans="1:4" x14ac:dyDescent="0.25">
      <c r="A23" s="150">
        <v>5102</v>
      </c>
      <c r="B23" s="151" t="s">
        <v>230</v>
      </c>
      <c r="C23" s="151"/>
      <c r="D23" s="152">
        <v>4368000</v>
      </c>
    </row>
    <row r="24" spans="1:4" x14ac:dyDescent="0.25">
      <c r="A24" s="150">
        <v>5103</v>
      </c>
      <c r="B24" s="151" t="s">
        <v>231</v>
      </c>
      <c r="C24" s="151"/>
      <c r="D24" s="152">
        <v>335216133</v>
      </c>
    </row>
    <row r="25" spans="1:4" x14ac:dyDescent="0.25">
      <c r="A25" s="150">
        <v>5104</v>
      </c>
      <c r="B25" s="151" t="s">
        <v>232</v>
      </c>
      <c r="C25" s="151"/>
      <c r="D25" s="152">
        <v>71245798</v>
      </c>
    </row>
    <row r="26" spans="1:4" x14ac:dyDescent="0.25">
      <c r="A26" s="150">
        <v>5107</v>
      </c>
      <c r="B26" s="151" t="s">
        <v>233</v>
      </c>
      <c r="C26" s="151"/>
      <c r="D26" s="152">
        <v>311987821</v>
      </c>
    </row>
    <row r="27" spans="1:4" x14ac:dyDescent="0.25">
      <c r="A27" s="150">
        <v>5108</v>
      </c>
      <c r="B27" s="151" t="s">
        <v>234</v>
      </c>
      <c r="C27" s="151"/>
      <c r="D27" s="152">
        <v>12903293</v>
      </c>
    </row>
    <row r="28" spans="1:4" x14ac:dyDescent="0.25">
      <c r="A28" s="150">
        <v>5111</v>
      </c>
      <c r="B28" s="151" t="s">
        <v>235</v>
      </c>
      <c r="C28" s="151"/>
      <c r="D28" s="152">
        <v>2776269835</v>
      </c>
    </row>
    <row r="29" spans="1:4" x14ac:dyDescent="0.25">
      <c r="A29" s="150">
        <v>5120</v>
      </c>
      <c r="B29" s="151" t="s">
        <v>33</v>
      </c>
      <c r="C29" s="151"/>
      <c r="D29" s="152">
        <v>66960831</v>
      </c>
    </row>
    <row r="30" spans="1:4" x14ac:dyDescent="0.25">
      <c r="A30" s="150">
        <v>53</v>
      </c>
      <c r="B30" s="151" t="s">
        <v>236</v>
      </c>
      <c r="C30" s="151"/>
      <c r="D30" s="152">
        <v>251221450</v>
      </c>
    </row>
    <row r="31" spans="1:4" x14ac:dyDescent="0.25">
      <c r="A31" s="150">
        <v>55</v>
      </c>
      <c r="B31" s="151" t="s">
        <v>38</v>
      </c>
      <c r="C31" s="151"/>
      <c r="D31" s="152">
        <v>53331728</v>
      </c>
    </row>
    <row r="32" spans="1:4" ht="15.75" thickBot="1" x14ac:dyDescent="0.3">
      <c r="A32" s="150">
        <v>58</v>
      </c>
      <c r="B32" s="151" t="s">
        <v>26</v>
      </c>
      <c r="C32" s="151"/>
      <c r="D32" s="152">
        <v>13028122</v>
      </c>
    </row>
    <row r="33" spans="1:4" s="1" customFormat="1" ht="16.5" thickTop="1" thickBot="1" x14ac:dyDescent="0.3">
      <c r="A33" s="145"/>
      <c r="B33" s="146" t="s">
        <v>237</v>
      </c>
      <c r="C33" s="146"/>
      <c r="D33" s="155">
        <f>D7-D19-D21</f>
        <v>96598353</v>
      </c>
    </row>
    <row r="34" spans="1:4" ht="15.75" thickTop="1" x14ac:dyDescent="0.25">
      <c r="A34" s="150"/>
      <c r="B34" s="151" t="s">
        <v>20</v>
      </c>
      <c r="C34" s="151"/>
      <c r="D34" s="152"/>
    </row>
    <row r="35" spans="1:4" x14ac:dyDescent="0.25">
      <c r="A35" s="7"/>
      <c r="B35" s="8"/>
      <c r="C35" s="8"/>
      <c r="D35" s="9"/>
    </row>
    <row r="36" spans="1:4" x14ac:dyDescent="0.25">
      <c r="A36" s="8"/>
      <c r="B36" s="5"/>
      <c r="C36" s="5"/>
      <c r="D36" s="6"/>
    </row>
    <row r="37" spans="1:4" x14ac:dyDescent="0.25">
      <c r="A37" s="8"/>
      <c r="B37" s="8"/>
      <c r="C37" s="8"/>
      <c r="D37" s="9"/>
    </row>
    <row r="38" spans="1:4" x14ac:dyDescent="0.25">
      <c r="B38" s="11" t="s">
        <v>217</v>
      </c>
      <c r="C38" s="19" t="s">
        <v>30</v>
      </c>
      <c r="D38" s="19"/>
    </row>
    <row r="39" spans="1:4" x14ac:dyDescent="0.25">
      <c r="B39" t="s">
        <v>196</v>
      </c>
      <c r="C39" s="4" t="s">
        <v>29</v>
      </c>
      <c r="D39" s="4" t="s">
        <v>20</v>
      </c>
    </row>
    <row r="40" spans="1:4" x14ac:dyDescent="0.25">
      <c r="C40" s="4" t="s">
        <v>36</v>
      </c>
      <c r="D40" s="4" t="s">
        <v>20</v>
      </c>
    </row>
    <row r="41" spans="1:4" x14ac:dyDescent="0.25">
      <c r="D41" s="10"/>
    </row>
    <row r="42" spans="1:4" x14ac:dyDescent="0.25">
      <c r="B42" s="164" t="s">
        <v>20</v>
      </c>
      <c r="C42" s="164"/>
      <c r="D42" s="164"/>
    </row>
    <row r="43" spans="1:4" x14ac:dyDescent="0.25">
      <c r="D43" s="122" t="s">
        <v>20</v>
      </c>
    </row>
    <row r="44" spans="1:4" x14ac:dyDescent="0.25">
      <c r="D44" s="122" t="s">
        <v>20</v>
      </c>
    </row>
    <row r="45" spans="1:4" x14ac:dyDescent="0.25">
      <c r="D45" s="10"/>
    </row>
    <row r="46" spans="1:4" x14ac:dyDescent="0.25">
      <c r="D46" s="10"/>
    </row>
    <row r="47" spans="1:4" x14ac:dyDescent="0.25">
      <c r="D47" s="10"/>
    </row>
    <row r="48" spans="1:4" x14ac:dyDescent="0.25">
      <c r="D48" s="10"/>
    </row>
    <row r="49" spans="4:4" x14ac:dyDescent="0.25">
      <c r="D49" s="10"/>
    </row>
    <row r="50" spans="4:4" x14ac:dyDescent="0.25">
      <c r="D50" s="10"/>
    </row>
  </sheetData>
  <mergeCells count="6">
    <mergeCell ref="B42:D42"/>
    <mergeCell ref="A1:D1"/>
    <mergeCell ref="A2:D2"/>
    <mergeCell ref="A3:D3"/>
    <mergeCell ref="A4:D4"/>
    <mergeCell ref="A5:D5"/>
  </mergeCells>
  <pageMargins left="0.70866141732283472" right="0.70866141732283472" top="0.15748031496062992" bottom="0.15748031496062992" header="0.31496062992125984" footer="0.31496062992125984"/>
  <pageSetup orientation="landscape" r:id="rId1"/>
  <ignoredErrors>
    <ignoredError sqref="D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opLeftCell="A4" workbookViewId="0">
      <selection activeCell="N36" sqref="N36"/>
    </sheetView>
  </sheetViews>
  <sheetFormatPr baseColWidth="10" defaultRowHeight="15" x14ac:dyDescent="0.25"/>
  <cols>
    <col min="1" max="1" width="7.28515625" customWidth="1"/>
    <col min="2" max="2" width="32.42578125" customWidth="1"/>
    <col min="3" max="3" width="13.7109375" customWidth="1"/>
    <col min="4" max="4" width="3.5703125" customWidth="1"/>
    <col min="5" max="5" width="15.42578125" customWidth="1"/>
    <col min="6" max="6" width="3.140625" customWidth="1"/>
    <col min="7" max="7" width="17.42578125" customWidth="1"/>
    <col min="8" max="8" width="3.28515625" customWidth="1"/>
    <col min="9" max="9" width="16.28515625" bestFit="1" customWidth="1"/>
  </cols>
  <sheetData>
    <row r="2" spans="1:12" ht="18.75" x14ac:dyDescent="0.3">
      <c r="A2" s="160" t="s">
        <v>0</v>
      </c>
      <c r="B2" s="160"/>
      <c r="C2" s="160"/>
      <c r="D2" s="160"/>
      <c r="E2" s="160"/>
      <c r="F2" s="160"/>
      <c r="G2" s="160"/>
      <c r="H2" s="120"/>
      <c r="I2" s="21"/>
    </row>
    <row r="3" spans="1:12" ht="18.75" x14ac:dyDescent="0.3">
      <c r="A3" s="160" t="s">
        <v>1</v>
      </c>
      <c r="B3" s="160"/>
      <c r="C3" s="160"/>
      <c r="D3" s="160"/>
      <c r="E3" s="160"/>
      <c r="F3" s="160"/>
      <c r="G3" s="160"/>
      <c r="H3" s="120"/>
      <c r="I3" s="21"/>
    </row>
    <row r="4" spans="1:12" x14ac:dyDescent="0.25">
      <c r="A4" s="167" t="s">
        <v>39</v>
      </c>
      <c r="B4" s="167"/>
      <c r="C4" s="167"/>
      <c r="D4" s="167"/>
      <c r="E4" s="167"/>
      <c r="F4" s="167"/>
      <c r="G4" s="167"/>
      <c r="H4" s="122"/>
    </row>
    <row r="5" spans="1:12" x14ac:dyDescent="0.25">
      <c r="A5" s="167" t="s">
        <v>177</v>
      </c>
      <c r="B5" s="167"/>
      <c r="C5" s="167"/>
      <c r="D5" s="167"/>
      <c r="E5" s="167"/>
      <c r="F5" s="167"/>
      <c r="G5" s="167"/>
      <c r="H5" s="122"/>
    </row>
    <row r="7" spans="1:12" x14ac:dyDescent="0.25">
      <c r="A7" t="s">
        <v>2</v>
      </c>
      <c r="B7" s="1" t="s">
        <v>3</v>
      </c>
      <c r="C7" s="132">
        <v>2016</v>
      </c>
      <c r="D7" s="1"/>
      <c r="E7" s="123">
        <v>2017</v>
      </c>
      <c r="F7" s="1"/>
      <c r="G7" s="123" t="s">
        <v>40</v>
      </c>
      <c r="H7" s="123"/>
      <c r="I7" s="123" t="s">
        <v>41</v>
      </c>
      <c r="L7" t="s">
        <v>148</v>
      </c>
    </row>
    <row r="8" spans="1:12" x14ac:dyDescent="0.25">
      <c r="A8" s="1"/>
      <c r="B8" s="1" t="s">
        <v>4</v>
      </c>
      <c r="C8" s="3">
        <f>+C10+C11+C12</f>
        <v>185923519.63999999</v>
      </c>
      <c r="D8" s="1"/>
      <c r="E8" s="3">
        <f>+E10+E11+E12</f>
        <v>344768952.75999999</v>
      </c>
      <c r="F8" s="3" t="s">
        <v>20</v>
      </c>
      <c r="G8" s="3">
        <f>E8-C8</f>
        <v>158845433.12</v>
      </c>
      <c r="H8" s="3"/>
      <c r="I8" s="22">
        <f>G8/E8</f>
        <v>0.46073009720969638</v>
      </c>
    </row>
    <row r="9" spans="1:12" x14ac:dyDescent="0.25">
      <c r="C9" s="23"/>
      <c r="E9" s="23"/>
      <c r="F9" s="23"/>
      <c r="G9" s="23"/>
      <c r="H9" s="23"/>
      <c r="I9" s="22" t="s">
        <v>20</v>
      </c>
    </row>
    <row r="10" spans="1:12" x14ac:dyDescent="0.25">
      <c r="A10">
        <v>11</v>
      </c>
      <c r="B10" t="s">
        <v>5</v>
      </c>
      <c r="C10" s="23">
        <v>31146954.640000001</v>
      </c>
      <c r="E10" s="23">
        <v>198968694.75999999</v>
      </c>
      <c r="F10" s="23"/>
      <c r="G10" s="23">
        <f>E10-C10</f>
        <v>167821740.12</v>
      </c>
      <c r="H10" s="23"/>
      <c r="I10" s="22">
        <f>G10/E10</f>
        <v>0.8434580139475204</v>
      </c>
    </row>
    <row r="11" spans="1:12" x14ac:dyDescent="0.25">
      <c r="A11">
        <v>13</v>
      </c>
      <c r="B11" t="s">
        <v>42</v>
      </c>
      <c r="C11" s="23">
        <v>0</v>
      </c>
      <c r="E11" s="23">
        <v>0</v>
      </c>
      <c r="F11" s="23"/>
      <c r="G11" s="23">
        <f>C11-E11</f>
        <v>0</v>
      </c>
      <c r="H11" s="23"/>
      <c r="I11" s="22" t="s">
        <v>20</v>
      </c>
    </row>
    <row r="12" spans="1:12" x14ac:dyDescent="0.25">
      <c r="A12">
        <v>14</v>
      </c>
      <c r="B12" t="s">
        <v>6</v>
      </c>
      <c r="C12" s="23">
        <v>154776565</v>
      </c>
      <c r="E12" s="23">
        <v>145800258</v>
      </c>
      <c r="F12" s="23"/>
      <c r="G12" s="23">
        <f>E12-C12</f>
        <v>-8976307</v>
      </c>
      <c r="H12" s="23"/>
      <c r="I12" s="22">
        <f>G12/E12</f>
        <v>-6.1565782688807039E-2</v>
      </c>
    </row>
    <row r="13" spans="1:12" x14ac:dyDescent="0.25">
      <c r="C13" s="23"/>
      <c r="E13" s="23"/>
      <c r="F13" s="23"/>
      <c r="G13" s="23" t="s">
        <v>20</v>
      </c>
      <c r="H13" s="23"/>
      <c r="I13" s="22" t="s">
        <v>20</v>
      </c>
      <c r="L13" t="s">
        <v>20</v>
      </c>
    </row>
    <row r="14" spans="1:12" x14ac:dyDescent="0.25">
      <c r="A14" s="1"/>
      <c r="B14" s="1" t="s">
        <v>7</v>
      </c>
      <c r="C14" s="3">
        <f>+C15+C16+C17</f>
        <v>219280465.62</v>
      </c>
      <c r="D14" s="1"/>
      <c r="E14" s="3">
        <f>+E15+E16+E17</f>
        <v>220351160.54000002</v>
      </c>
      <c r="F14" s="3"/>
      <c r="G14" s="23">
        <f>E14-C14</f>
        <v>1070694.9200000167</v>
      </c>
      <c r="H14" s="23"/>
      <c r="I14" s="22">
        <f>G14/E14</f>
        <v>4.8590391690070314E-3</v>
      </c>
    </row>
    <row r="15" spans="1:12" x14ac:dyDescent="0.25">
      <c r="A15">
        <v>16</v>
      </c>
      <c r="B15" t="s">
        <v>8</v>
      </c>
      <c r="C15" s="23">
        <v>539672178</v>
      </c>
      <c r="E15" s="23">
        <v>569002378</v>
      </c>
      <c r="F15" s="23"/>
      <c r="G15" s="23">
        <f>E15-C15</f>
        <v>29330200</v>
      </c>
      <c r="H15" s="23"/>
      <c r="I15" s="22">
        <f t="shared" ref="I15:I32" si="0">G15/E15</f>
        <v>5.154670900162741E-2</v>
      </c>
    </row>
    <row r="16" spans="1:12" x14ac:dyDescent="0.25">
      <c r="A16">
        <v>1685</v>
      </c>
      <c r="B16" t="s">
        <v>9</v>
      </c>
      <c r="C16" s="23">
        <v>-330894912</v>
      </c>
      <c r="E16" s="23">
        <v>-365164417.07999998</v>
      </c>
      <c r="F16" s="23"/>
      <c r="G16" s="23">
        <f>E16-C16</f>
        <v>-34269505.079999983</v>
      </c>
      <c r="H16" s="23"/>
      <c r="I16" s="22">
        <f t="shared" si="0"/>
        <v>9.3846781003561586E-2</v>
      </c>
    </row>
    <row r="17" spans="1:13" x14ac:dyDescent="0.25">
      <c r="A17">
        <v>19</v>
      </c>
      <c r="B17" t="s">
        <v>10</v>
      </c>
      <c r="C17" s="23">
        <v>10503199.619999999</v>
      </c>
      <c r="E17" s="23">
        <v>16513199.619999999</v>
      </c>
      <c r="F17" s="23"/>
      <c r="G17" s="23">
        <f>C17-E17</f>
        <v>-6010000</v>
      </c>
      <c r="H17" s="23"/>
      <c r="I17" s="22">
        <f t="shared" si="0"/>
        <v>-0.36395127160704671</v>
      </c>
    </row>
    <row r="18" spans="1:13" x14ac:dyDescent="0.25">
      <c r="C18" s="23"/>
      <c r="E18" s="23"/>
      <c r="F18" s="23"/>
      <c r="G18" s="23" t="s">
        <v>20</v>
      </c>
      <c r="H18" s="23"/>
      <c r="I18" s="22" t="s">
        <v>20</v>
      </c>
      <c r="L18" t="s">
        <v>20</v>
      </c>
    </row>
    <row r="19" spans="1:13" x14ac:dyDescent="0.25">
      <c r="A19" s="1"/>
      <c r="B19" s="1" t="s">
        <v>11</v>
      </c>
      <c r="C19" s="3">
        <f>+C8+C14</f>
        <v>405203985.25999999</v>
      </c>
      <c r="D19" s="1"/>
      <c r="E19" s="3">
        <f>+E8+E14</f>
        <v>565120113.29999995</v>
      </c>
      <c r="F19" s="3"/>
      <c r="G19" s="3">
        <f>E19-C19</f>
        <v>159916128.03999996</v>
      </c>
      <c r="H19" s="3"/>
      <c r="I19" s="22">
        <f t="shared" si="0"/>
        <v>0.28297723665536356</v>
      </c>
    </row>
    <row r="20" spans="1:13" x14ac:dyDescent="0.25">
      <c r="C20" s="23"/>
      <c r="E20" s="23"/>
      <c r="F20" s="23"/>
      <c r="G20" s="23" t="s">
        <v>20</v>
      </c>
      <c r="H20" s="23"/>
      <c r="I20" s="22" t="s">
        <v>20</v>
      </c>
      <c r="L20" s="22" t="s">
        <v>20</v>
      </c>
    </row>
    <row r="21" spans="1:13" x14ac:dyDescent="0.25">
      <c r="B21" s="1" t="s">
        <v>12</v>
      </c>
      <c r="C21" s="3"/>
      <c r="D21" s="1"/>
      <c r="E21" s="3"/>
      <c r="F21" s="23"/>
      <c r="G21" s="23" t="s">
        <v>20</v>
      </c>
      <c r="H21" s="23"/>
      <c r="I21" s="22" t="s">
        <v>20</v>
      </c>
    </row>
    <row r="22" spans="1:13" x14ac:dyDescent="0.25">
      <c r="B22" s="1" t="s">
        <v>13</v>
      </c>
      <c r="C22" s="3">
        <f>+C23+C24+C25</f>
        <v>343587154.63</v>
      </c>
      <c r="D22" s="1"/>
      <c r="E22" s="3">
        <f>+E23+E24+E25</f>
        <v>244237439</v>
      </c>
      <c r="F22" s="23"/>
      <c r="G22" s="23">
        <f>E22-C22</f>
        <v>-99349715.629999995</v>
      </c>
      <c r="H22" s="23"/>
      <c r="I22" s="22">
        <f t="shared" si="0"/>
        <v>-0.40677512848470376</v>
      </c>
    </row>
    <row r="23" spans="1:13" x14ac:dyDescent="0.25">
      <c r="A23">
        <v>24</v>
      </c>
      <c r="B23" s="2" t="s">
        <v>14</v>
      </c>
      <c r="C23" s="24">
        <v>162085456.63</v>
      </c>
      <c r="D23" s="2"/>
      <c r="E23" s="24">
        <v>88904029</v>
      </c>
      <c r="F23" s="23"/>
      <c r="G23" s="23">
        <f t="shared" ref="G23:G26" si="1">E23-C23</f>
        <v>-73181427.629999995</v>
      </c>
      <c r="H23" s="23"/>
      <c r="I23" s="22">
        <f t="shared" si="0"/>
        <v>-0.8231508566389043</v>
      </c>
      <c r="M23" t="s">
        <v>20</v>
      </c>
    </row>
    <row r="24" spans="1:13" x14ac:dyDescent="0.25">
      <c r="A24">
        <v>27</v>
      </c>
      <c r="B24" t="s">
        <v>32</v>
      </c>
      <c r="C24" s="23">
        <v>57848816</v>
      </c>
      <c r="E24" s="23">
        <v>57848816</v>
      </c>
      <c r="F24" s="23"/>
      <c r="G24" s="23">
        <f t="shared" si="1"/>
        <v>0</v>
      </c>
      <c r="H24" s="23"/>
      <c r="I24" s="22">
        <f t="shared" si="0"/>
        <v>0</v>
      </c>
    </row>
    <row r="25" spans="1:13" x14ac:dyDescent="0.25">
      <c r="A25">
        <v>29</v>
      </c>
      <c r="B25" t="s">
        <v>43</v>
      </c>
      <c r="C25" s="24">
        <v>123652882</v>
      </c>
      <c r="D25" s="2"/>
      <c r="E25" s="24">
        <v>97484594</v>
      </c>
      <c r="F25" s="23"/>
      <c r="G25" s="23">
        <f t="shared" si="1"/>
        <v>-26168288</v>
      </c>
      <c r="H25" s="23"/>
      <c r="I25" s="22">
        <f t="shared" si="0"/>
        <v>-0.26843511293692213</v>
      </c>
    </row>
    <row r="26" spans="1:13" x14ac:dyDescent="0.25">
      <c r="A26" s="1"/>
      <c r="B26" s="1" t="s">
        <v>19</v>
      </c>
      <c r="C26" s="3">
        <f>+C22</f>
        <v>343587154.63</v>
      </c>
      <c r="D26" s="1"/>
      <c r="E26" s="3">
        <f>+E22</f>
        <v>244237439</v>
      </c>
      <c r="F26" s="3"/>
      <c r="G26" s="23">
        <f t="shared" si="1"/>
        <v>-99349715.629999995</v>
      </c>
      <c r="H26" s="3"/>
      <c r="I26" s="22">
        <f t="shared" si="0"/>
        <v>-0.40677512848470376</v>
      </c>
    </row>
    <row r="27" spans="1:13" x14ac:dyDescent="0.25">
      <c r="C27" s="23"/>
      <c r="E27" s="23"/>
      <c r="F27" s="23"/>
      <c r="G27" s="23" t="s">
        <v>20</v>
      </c>
      <c r="H27" s="23"/>
      <c r="I27" s="22" t="s">
        <v>20</v>
      </c>
    </row>
    <row r="28" spans="1:13" x14ac:dyDescent="0.25">
      <c r="A28" s="1"/>
      <c r="B28" s="1" t="s">
        <v>15</v>
      </c>
      <c r="C28" s="3">
        <f>SUM(C29:C31)</f>
        <v>61616830</v>
      </c>
      <c r="D28" s="1"/>
      <c r="E28" s="3">
        <f>SUM(E29:E31)</f>
        <v>320882674</v>
      </c>
      <c r="F28" s="3"/>
      <c r="G28" s="23">
        <f>E28-C28</f>
        <v>259265844</v>
      </c>
      <c r="H28" s="23"/>
      <c r="I28" s="22">
        <f t="shared" si="0"/>
        <v>0.80797707388838325</v>
      </c>
    </row>
    <row r="29" spans="1:13" x14ac:dyDescent="0.25">
      <c r="A29">
        <v>3208</v>
      </c>
      <c r="B29" t="s">
        <v>16</v>
      </c>
      <c r="C29" s="23">
        <v>426793026</v>
      </c>
      <c r="E29" s="23">
        <v>61247830</v>
      </c>
      <c r="F29" s="23"/>
      <c r="G29" s="23">
        <f>E29-C29</f>
        <v>-365545196</v>
      </c>
      <c r="H29" s="23"/>
      <c r="I29" s="22">
        <f t="shared" si="0"/>
        <v>-5.9682962808641546</v>
      </c>
      <c r="L29" t="s">
        <v>20</v>
      </c>
      <c r="M29" t="s">
        <v>20</v>
      </c>
    </row>
    <row r="30" spans="1:13" x14ac:dyDescent="0.25">
      <c r="A30">
        <v>3230</v>
      </c>
      <c r="B30" t="s">
        <v>17</v>
      </c>
      <c r="C30" s="23">
        <v>-365545196</v>
      </c>
      <c r="E30" s="23">
        <v>259265844</v>
      </c>
      <c r="F30" s="23"/>
      <c r="G30" s="23">
        <f>E30-C30</f>
        <v>624811040</v>
      </c>
      <c r="H30" s="23"/>
      <c r="I30" s="22">
        <f t="shared" si="0"/>
        <v>2.4099242320558045</v>
      </c>
    </row>
    <row r="31" spans="1:13" x14ac:dyDescent="0.25">
      <c r="A31">
        <v>3235</v>
      </c>
      <c r="B31" t="s">
        <v>24</v>
      </c>
      <c r="C31" s="23">
        <v>369000</v>
      </c>
      <c r="E31" s="23">
        <v>369000</v>
      </c>
      <c r="F31" s="23"/>
      <c r="G31" s="23">
        <f>E31-C31</f>
        <v>0</v>
      </c>
      <c r="H31" s="23"/>
      <c r="I31" s="22">
        <f t="shared" si="0"/>
        <v>0</v>
      </c>
    </row>
    <row r="32" spans="1:13" x14ac:dyDescent="0.25">
      <c r="A32" s="1"/>
      <c r="B32" s="1" t="s">
        <v>18</v>
      </c>
      <c r="C32" s="3">
        <f>+C26+C28</f>
        <v>405203984.63</v>
      </c>
      <c r="D32" s="1"/>
      <c r="E32" s="3">
        <f>+E26+E28</f>
        <v>565120113</v>
      </c>
      <c r="F32" s="3"/>
      <c r="G32" s="3">
        <f>E32-C32</f>
        <v>159916128.37</v>
      </c>
      <c r="H32" s="3"/>
      <c r="I32" s="22">
        <f t="shared" si="0"/>
        <v>0.28297723738953173</v>
      </c>
    </row>
    <row r="33" spans="1:9" x14ac:dyDescent="0.25">
      <c r="C33" t="s">
        <v>20</v>
      </c>
      <c r="E33" t="s">
        <v>20</v>
      </c>
    </row>
    <row r="36" spans="1:9" x14ac:dyDescent="0.25">
      <c r="D36" s="1" t="s">
        <v>20</v>
      </c>
    </row>
    <row r="37" spans="1:9" x14ac:dyDescent="0.25">
      <c r="A37" s="1"/>
      <c r="B37" s="1" t="s">
        <v>37</v>
      </c>
      <c r="C37" s="1"/>
      <c r="D37" s="1" t="s">
        <v>30</v>
      </c>
      <c r="E37" s="1"/>
      <c r="F37" s="1"/>
      <c r="G37" s="1"/>
      <c r="H37" s="1"/>
      <c r="I37" s="1"/>
    </row>
    <row r="38" spans="1:9" x14ac:dyDescent="0.25">
      <c r="B38" t="s">
        <v>46</v>
      </c>
      <c r="D38" t="s">
        <v>44</v>
      </c>
      <c r="F38" t="s">
        <v>20</v>
      </c>
    </row>
    <row r="39" spans="1:9" x14ac:dyDescent="0.25">
      <c r="D39" t="s">
        <v>45</v>
      </c>
    </row>
  </sheetData>
  <mergeCells count="4">
    <mergeCell ref="A2:G2"/>
    <mergeCell ref="A3:G3"/>
    <mergeCell ref="A4:G4"/>
    <mergeCell ref="A5:G5"/>
  </mergeCells>
  <pageMargins left="0.70866141732283472" right="0.70866141732283472" top="0" bottom="0"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A17" workbookViewId="0">
      <selection activeCell="E13" sqref="E13"/>
    </sheetView>
  </sheetViews>
  <sheetFormatPr baseColWidth="10" defaultRowHeight="15" x14ac:dyDescent="0.25"/>
  <cols>
    <col min="1" max="1" width="9.140625" customWidth="1"/>
    <col min="2" max="2" width="32.42578125" customWidth="1"/>
    <col min="3" max="3" width="14.7109375" customWidth="1"/>
    <col min="4" max="4" width="6" customWidth="1"/>
    <col min="5" max="5" width="14.28515625" customWidth="1"/>
    <col min="6" max="6" width="6.28515625" customWidth="1"/>
    <col min="7" max="7" width="14.42578125" customWidth="1"/>
    <col min="8" max="8" width="7.140625" customWidth="1"/>
    <col min="11" max="11" width="14.140625" bestFit="1" customWidth="1"/>
  </cols>
  <sheetData>
    <row r="1" spans="1:13" x14ac:dyDescent="0.25">
      <c r="A1" s="1"/>
      <c r="B1" s="168" t="s">
        <v>149</v>
      </c>
      <c r="C1" s="168"/>
      <c r="D1" s="168"/>
      <c r="E1" s="168"/>
      <c r="F1" s="168"/>
      <c r="G1" s="168"/>
      <c r="H1" s="168"/>
      <c r="I1" s="168"/>
      <c r="J1" s="168"/>
    </row>
    <row r="2" spans="1:13" x14ac:dyDescent="0.25">
      <c r="A2" s="1"/>
      <c r="B2" s="168" t="s">
        <v>150</v>
      </c>
      <c r="C2" s="168"/>
      <c r="D2" s="168"/>
      <c r="E2" s="168"/>
      <c r="F2" s="168"/>
      <c r="G2" s="168"/>
      <c r="H2" s="168"/>
      <c r="I2" s="168"/>
      <c r="J2" s="168"/>
    </row>
    <row r="3" spans="1:13" x14ac:dyDescent="0.25">
      <c r="A3" s="1"/>
      <c r="B3" s="168" t="s">
        <v>178</v>
      </c>
      <c r="C3" s="168"/>
      <c r="D3" s="168"/>
      <c r="E3" s="168"/>
      <c r="F3" s="168"/>
      <c r="G3" s="168"/>
      <c r="H3" s="168"/>
      <c r="I3" s="168"/>
      <c r="J3" s="168"/>
    </row>
    <row r="4" spans="1:13" x14ac:dyDescent="0.25">
      <c r="A4" s="1"/>
      <c r="B4" s="1"/>
      <c r="C4" s="132">
        <v>2016</v>
      </c>
      <c r="D4" s="124"/>
      <c r="E4" s="124">
        <v>2017</v>
      </c>
      <c r="F4" s="124"/>
      <c r="G4" s="124" t="s">
        <v>151</v>
      </c>
      <c r="H4" s="124"/>
      <c r="I4" s="124" t="s">
        <v>152</v>
      </c>
      <c r="J4" s="1"/>
    </row>
    <row r="5" spans="1:13" ht="15.75" x14ac:dyDescent="0.25">
      <c r="A5" s="125">
        <v>4</v>
      </c>
      <c r="B5" s="126" t="s">
        <v>153</v>
      </c>
      <c r="C5" s="125"/>
      <c r="D5" s="125"/>
      <c r="E5" s="125"/>
      <c r="F5" s="125"/>
      <c r="G5" s="125"/>
      <c r="H5" s="125"/>
      <c r="I5" s="125"/>
      <c r="J5" s="125"/>
      <c r="K5" s="125"/>
      <c r="L5" s="125"/>
    </row>
    <row r="6" spans="1:13" ht="15.75" x14ac:dyDescent="0.25">
      <c r="A6" s="125">
        <v>41</v>
      </c>
      <c r="B6" s="125" t="s">
        <v>154</v>
      </c>
      <c r="C6" s="127">
        <v>6673800</v>
      </c>
      <c r="D6" s="127"/>
      <c r="E6" s="127">
        <v>4350000</v>
      </c>
      <c r="F6" s="127"/>
      <c r="G6" s="127">
        <f t="shared" ref="G6:G19" si="0">E6-C6</f>
        <v>-2323800</v>
      </c>
      <c r="H6" s="127"/>
      <c r="I6" s="128">
        <f t="shared" ref="I6:I19" si="1">G6/C6</f>
        <v>-0.34819742875123616</v>
      </c>
      <c r="J6" s="125"/>
      <c r="K6" s="125"/>
      <c r="L6" s="125"/>
    </row>
    <row r="7" spans="1:13" ht="15.75" x14ac:dyDescent="0.25">
      <c r="A7" s="125"/>
      <c r="B7" s="125" t="s">
        <v>155</v>
      </c>
      <c r="C7" s="127">
        <v>6673800</v>
      </c>
      <c r="D7" s="127"/>
      <c r="E7" s="127">
        <v>4350000</v>
      </c>
      <c r="F7" s="127"/>
      <c r="G7" s="127">
        <f t="shared" si="0"/>
        <v>-2323800</v>
      </c>
      <c r="H7" s="127"/>
      <c r="I7" s="128">
        <f t="shared" si="1"/>
        <v>-0.34819742875123616</v>
      </c>
      <c r="J7" s="125"/>
      <c r="K7" s="125"/>
      <c r="L7" s="125"/>
    </row>
    <row r="8" spans="1:13" ht="15.75" x14ac:dyDescent="0.25">
      <c r="A8" s="125">
        <v>43</v>
      </c>
      <c r="B8" s="125" t="s">
        <v>156</v>
      </c>
      <c r="C8" s="127">
        <f>C9+C10</f>
        <v>108491895</v>
      </c>
      <c r="D8" s="127"/>
      <c r="E8" s="127">
        <f>E9+E10</f>
        <v>364471082</v>
      </c>
      <c r="F8" s="127"/>
      <c r="G8" s="127">
        <f t="shared" si="0"/>
        <v>255979187</v>
      </c>
      <c r="H8" s="127"/>
      <c r="I8" s="128">
        <f t="shared" si="1"/>
        <v>2.3594314303386441</v>
      </c>
      <c r="J8" s="125"/>
      <c r="K8" s="125"/>
      <c r="L8" s="125"/>
      <c r="M8" t="s">
        <v>20</v>
      </c>
    </row>
    <row r="9" spans="1:13" ht="15.75" x14ac:dyDescent="0.25">
      <c r="A9" s="125">
        <v>4305</v>
      </c>
      <c r="B9" s="125" t="s">
        <v>94</v>
      </c>
      <c r="C9" s="127">
        <v>1155000</v>
      </c>
      <c r="D9" s="127"/>
      <c r="E9" s="127">
        <v>318500</v>
      </c>
      <c r="F9" s="127"/>
      <c r="G9" s="127">
        <f t="shared" si="0"/>
        <v>-836500</v>
      </c>
      <c r="H9" s="127"/>
      <c r="I9" s="128">
        <f t="shared" si="1"/>
        <v>-0.72424242424242424</v>
      </c>
      <c r="J9" s="125"/>
      <c r="K9" s="125"/>
      <c r="L9" s="125"/>
    </row>
    <row r="10" spans="1:13" ht="15.75" x14ac:dyDescent="0.25">
      <c r="A10" s="125">
        <v>4390</v>
      </c>
      <c r="B10" s="125" t="s">
        <v>157</v>
      </c>
      <c r="C10" s="127">
        <v>107336895</v>
      </c>
      <c r="D10" s="127"/>
      <c r="E10" s="127">
        <v>364152582</v>
      </c>
      <c r="F10" s="127"/>
      <c r="G10" s="127">
        <f t="shared" si="0"/>
        <v>256815687</v>
      </c>
      <c r="H10" s="127"/>
      <c r="I10" s="128">
        <f t="shared" si="1"/>
        <v>2.3926133413864821</v>
      </c>
      <c r="J10" s="125"/>
      <c r="K10" s="125"/>
      <c r="L10" s="125"/>
    </row>
    <row r="11" spans="1:13" ht="15.75" x14ac:dyDescent="0.25">
      <c r="A11" s="125">
        <v>44</v>
      </c>
      <c r="B11" s="125" t="s">
        <v>158</v>
      </c>
      <c r="C11" s="127">
        <f>C12</f>
        <v>8182910300</v>
      </c>
      <c r="D11" s="127"/>
      <c r="E11" s="127">
        <f>E12</f>
        <v>8991344163</v>
      </c>
      <c r="F11" s="127"/>
      <c r="G11" s="127">
        <f t="shared" si="0"/>
        <v>808433863</v>
      </c>
      <c r="H11" s="127"/>
      <c r="I11" s="128">
        <f t="shared" si="1"/>
        <v>9.8795395936333311E-2</v>
      </c>
      <c r="J11" s="125"/>
      <c r="K11" s="125"/>
      <c r="L11" s="125"/>
    </row>
    <row r="12" spans="1:13" ht="15.75" x14ac:dyDescent="0.25">
      <c r="A12" s="125">
        <v>4428</v>
      </c>
      <c r="B12" s="125" t="s">
        <v>159</v>
      </c>
      <c r="C12" s="127">
        <v>8182910300</v>
      </c>
      <c r="D12" s="127"/>
      <c r="E12" s="127">
        <v>8991344163</v>
      </c>
      <c r="F12" s="127"/>
      <c r="G12" s="127">
        <f t="shared" si="0"/>
        <v>808433863</v>
      </c>
      <c r="H12" s="127"/>
      <c r="I12" s="128">
        <f t="shared" si="1"/>
        <v>9.8795395936333311E-2</v>
      </c>
      <c r="J12" s="125"/>
      <c r="K12" s="125"/>
      <c r="L12" s="125"/>
    </row>
    <row r="13" spans="1:13" ht="15.75" x14ac:dyDescent="0.25">
      <c r="A13" s="125">
        <v>47</v>
      </c>
      <c r="B13" s="125" t="s">
        <v>160</v>
      </c>
      <c r="C13" s="127">
        <f>C14</f>
        <v>48520298</v>
      </c>
      <c r="D13" s="127"/>
      <c r="E13" s="127">
        <f>E14</f>
        <v>50513234</v>
      </c>
      <c r="F13" s="127"/>
      <c r="G13" s="127">
        <f t="shared" si="0"/>
        <v>1992936</v>
      </c>
      <c r="H13" s="127"/>
      <c r="I13" s="128">
        <f t="shared" si="1"/>
        <v>4.107427369881364E-2</v>
      </c>
      <c r="J13" s="125"/>
      <c r="K13" s="125"/>
      <c r="L13" s="125"/>
    </row>
    <row r="14" spans="1:13" ht="15.75" x14ac:dyDescent="0.25">
      <c r="A14" s="125">
        <v>4710</v>
      </c>
      <c r="B14" s="125" t="s">
        <v>161</v>
      </c>
      <c r="C14" s="127">
        <v>48520298</v>
      </c>
      <c r="D14" s="127"/>
      <c r="E14" s="127">
        <v>50513234</v>
      </c>
      <c r="F14" s="127"/>
      <c r="G14" s="127">
        <f t="shared" si="0"/>
        <v>1992936</v>
      </c>
      <c r="H14" s="127"/>
      <c r="I14" s="128">
        <f t="shared" si="1"/>
        <v>4.107427369881364E-2</v>
      </c>
      <c r="J14" s="125"/>
      <c r="K14" s="125"/>
      <c r="L14" s="125"/>
    </row>
    <row r="15" spans="1:13" ht="15.75" x14ac:dyDescent="0.25">
      <c r="A15" s="125">
        <v>48</v>
      </c>
      <c r="B15" s="125" t="s">
        <v>95</v>
      </c>
      <c r="C15" s="127">
        <f>C17+C18</f>
        <v>13189320</v>
      </c>
      <c r="D15" s="127"/>
      <c r="E15" s="127">
        <f>E16+E17+E18</f>
        <v>23325288.91</v>
      </c>
      <c r="F15" s="127"/>
      <c r="G15" s="127">
        <f t="shared" si="0"/>
        <v>10135968.91</v>
      </c>
      <c r="H15" s="127"/>
      <c r="I15" s="128">
        <f t="shared" si="1"/>
        <v>0.76849821749718716</v>
      </c>
      <c r="J15" s="125"/>
      <c r="K15" s="125"/>
      <c r="L15" s="125"/>
    </row>
    <row r="16" spans="1:13" ht="15.75" x14ac:dyDescent="0.25">
      <c r="A16" s="125">
        <v>4805</v>
      </c>
      <c r="B16" s="125" t="s">
        <v>104</v>
      </c>
      <c r="C16" s="127">
        <v>0</v>
      </c>
      <c r="D16" s="127"/>
      <c r="E16" s="127">
        <v>6033454</v>
      </c>
      <c r="F16" s="127"/>
      <c r="G16" s="127">
        <f t="shared" si="0"/>
        <v>6033454</v>
      </c>
      <c r="H16" s="127"/>
      <c r="I16" s="128">
        <v>0</v>
      </c>
      <c r="J16" s="125"/>
      <c r="K16" s="125"/>
      <c r="L16" s="125"/>
    </row>
    <row r="17" spans="1:12" ht="15.75" x14ac:dyDescent="0.25">
      <c r="A17" s="125">
        <v>4808</v>
      </c>
      <c r="B17" s="125" t="s">
        <v>162</v>
      </c>
      <c r="C17" s="127">
        <v>5564180</v>
      </c>
      <c r="D17" s="127"/>
      <c r="E17" s="127">
        <v>2500000</v>
      </c>
      <c r="F17" s="127"/>
      <c r="G17" s="127">
        <f t="shared" si="0"/>
        <v>-3064180</v>
      </c>
      <c r="H17" s="127"/>
      <c r="I17" s="128">
        <f t="shared" si="1"/>
        <v>-0.55069749720533845</v>
      </c>
      <c r="J17" s="125"/>
      <c r="K17" s="125"/>
      <c r="L17" s="125"/>
    </row>
    <row r="18" spans="1:12" ht="15.75" x14ac:dyDescent="0.25">
      <c r="A18" s="125">
        <v>4810</v>
      </c>
      <c r="B18" s="125" t="s">
        <v>163</v>
      </c>
      <c r="C18" s="127">
        <f>5262664+52945+2309531</f>
        <v>7625140</v>
      </c>
      <c r="D18" s="127"/>
      <c r="E18" s="127">
        <f>13429834.91+1362000</f>
        <v>14791834.91</v>
      </c>
      <c r="F18" s="127"/>
      <c r="G18" s="127">
        <f t="shared" si="0"/>
        <v>7166694.9100000001</v>
      </c>
      <c r="H18" s="127"/>
      <c r="I18" s="128">
        <f t="shared" si="1"/>
        <v>0.93987715766530189</v>
      </c>
      <c r="J18" s="128" t="s">
        <v>20</v>
      </c>
      <c r="K18" s="125"/>
      <c r="L18" s="125"/>
    </row>
    <row r="19" spans="1:12" ht="15.75" x14ac:dyDescent="0.25">
      <c r="A19" s="126"/>
      <c r="B19" s="126" t="s">
        <v>164</v>
      </c>
      <c r="C19" s="129">
        <f>C6+C8+C11+C13+C15</f>
        <v>8359785613</v>
      </c>
      <c r="D19" s="129"/>
      <c r="E19" s="129">
        <f>E6+E8+E11+E13+E15</f>
        <v>9434003767.9099998</v>
      </c>
      <c r="F19" s="129"/>
      <c r="G19" s="127">
        <f t="shared" si="0"/>
        <v>1074218154.9099998</v>
      </c>
      <c r="H19" s="127"/>
      <c r="I19" s="128">
        <f t="shared" si="1"/>
        <v>0.12849828986517575</v>
      </c>
      <c r="J19" s="126"/>
      <c r="K19" s="125"/>
      <c r="L19" s="125"/>
    </row>
    <row r="20" spans="1:12" ht="15.75" x14ac:dyDescent="0.25">
      <c r="A20" s="125">
        <v>63</v>
      </c>
      <c r="B20" s="126" t="s">
        <v>165</v>
      </c>
      <c r="C20" s="125"/>
      <c r="D20" s="125"/>
      <c r="E20" s="125"/>
      <c r="F20" s="125"/>
      <c r="G20" s="125"/>
      <c r="H20" s="125"/>
      <c r="I20" s="125"/>
      <c r="J20" s="125"/>
      <c r="K20" s="125"/>
      <c r="L20" s="125"/>
    </row>
    <row r="21" spans="1:12" ht="15.75" x14ac:dyDescent="0.25">
      <c r="A21" s="125">
        <v>6305</v>
      </c>
      <c r="B21" s="125" t="s">
        <v>166</v>
      </c>
      <c r="C21" s="127">
        <v>119164146</v>
      </c>
      <c r="D21" s="127"/>
      <c r="E21" s="127">
        <f>E22</f>
        <v>13608468</v>
      </c>
      <c r="F21" s="127"/>
      <c r="G21" s="127">
        <f>E21-C21</f>
        <v>-105555678</v>
      </c>
      <c r="H21" s="127"/>
      <c r="I21" s="128">
        <f>G21/C21</f>
        <v>-0.88580065013850728</v>
      </c>
      <c r="J21" s="125"/>
      <c r="K21" s="125"/>
      <c r="L21" s="125"/>
    </row>
    <row r="22" spans="1:12" ht="15.75" x14ac:dyDescent="0.25">
      <c r="A22" s="125">
        <v>6305</v>
      </c>
      <c r="B22" s="125" t="s">
        <v>94</v>
      </c>
      <c r="C22" s="127">
        <v>119164146</v>
      </c>
      <c r="D22" s="127"/>
      <c r="E22" s="127">
        <v>13608468</v>
      </c>
      <c r="F22" s="127"/>
      <c r="G22" s="127">
        <f>E22-C22</f>
        <v>-105555678</v>
      </c>
      <c r="H22" s="127"/>
      <c r="I22" s="128">
        <f>G22/C22</f>
        <v>-0.88580065013850728</v>
      </c>
      <c r="J22" s="125"/>
      <c r="K22" s="125"/>
      <c r="L22" s="125"/>
    </row>
    <row r="23" spans="1:12" ht="15.75" x14ac:dyDescent="0.25">
      <c r="A23" s="126"/>
      <c r="B23" s="126" t="s">
        <v>167</v>
      </c>
      <c r="C23" s="129">
        <v>119164146</v>
      </c>
      <c r="D23" s="129"/>
      <c r="E23" s="129">
        <v>13608468</v>
      </c>
      <c r="F23" s="129"/>
      <c r="G23" s="127">
        <f>E23-C23</f>
        <v>-105555678</v>
      </c>
      <c r="H23" s="127"/>
      <c r="I23" s="128">
        <f>G23/C23</f>
        <v>-0.88580065013850728</v>
      </c>
      <c r="J23" s="126"/>
      <c r="K23" s="125"/>
      <c r="L23" s="125"/>
    </row>
    <row r="24" spans="1:12" ht="15.75" x14ac:dyDescent="0.25">
      <c r="A24" s="125">
        <v>5</v>
      </c>
      <c r="B24" s="126" t="s">
        <v>168</v>
      </c>
      <c r="C24" s="125"/>
      <c r="D24" s="125"/>
      <c r="E24" s="125"/>
      <c r="F24" s="125"/>
      <c r="G24" s="125"/>
      <c r="H24" s="125"/>
      <c r="I24" s="125"/>
      <c r="J24" s="125"/>
      <c r="K24" s="125"/>
      <c r="L24" s="125"/>
    </row>
    <row r="25" spans="1:12" ht="15.75" x14ac:dyDescent="0.25">
      <c r="A25" s="125">
        <v>51</v>
      </c>
      <c r="B25" s="125" t="s">
        <v>169</v>
      </c>
      <c r="C25" s="127">
        <f>SUM(C26:C30)</f>
        <v>8522032538</v>
      </c>
      <c r="D25" s="127"/>
      <c r="E25" s="127">
        <f>SUM(E26:E30)</f>
        <v>9061727271.5200005</v>
      </c>
      <c r="F25" s="127"/>
      <c r="G25" s="127">
        <f t="shared" ref="G25:G38" si="2">E25-C25</f>
        <v>539694733.52000046</v>
      </c>
      <c r="H25" s="127"/>
      <c r="I25" s="128">
        <f t="shared" ref="I25:I38" si="3">G25/C25</f>
        <v>6.3329344392137124E-2</v>
      </c>
      <c r="J25" s="125"/>
      <c r="K25" s="125"/>
      <c r="L25" s="125"/>
    </row>
    <row r="26" spans="1:12" ht="15.75" x14ac:dyDescent="0.25">
      <c r="A26" s="125">
        <v>5101</v>
      </c>
      <c r="B26" s="125" t="s">
        <v>96</v>
      </c>
      <c r="C26" s="127">
        <v>1505735135</v>
      </c>
      <c r="D26" s="127"/>
      <c r="E26" s="127">
        <v>1626190227</v>
      </c>
      <c r="F26" s="127"/>
      <c r="G26" s="127">
        <f t="shared" si="2"/>
        <v>120455092</v>
      </c>
      <c r="H26" s="127"/>
      <c r="I26" s="128">
        <f t="shared" si="3"/>
        <v>7.9997530242926815E-2</v>
      </c>
      <c r="J26" s="125"/>
      <c r="K26" s="127" t="s">
        <v>20</v>
      </c>
      <c r="L26" s="125"/>
    </row>
    <row r="27" spans="1:12" ht="15.75" x14ac:dyDescent="0.25">
      <c r="A27" s="125">
        <v>5103</v>
      </c>
      <c r="B27" s="125" t="s">
        <v>97</v>
      </c>
      <c r="C27" s="127">
        <v>281446891</v>
      </c>
      <c r="D27" s="127"/>
      <c r="E27" s="127">
        <v>357696877</v>
      </c>
      <c r="F27" s="127"/>
      <c r="G27" s="127">
        <f t="shared" si="2"/>
        <v>76249986</v>
      </c>
      <c r="H27" s="127"/>
      <c r="I27" s="128">
        <f t="shared" si="3"/>
        <v>0.27092140094025768</v>
      </c>
      <c r="J27" s="125"/>
      <c r="K27" s="125"/>
      <c r="L27" s="125"/>
    </row>
    <row r="28" spans="1:12" ht="15.75" x14ac:dyDescent="0.25">
      <c r="A28" s="125">
        <v>5104</v>
      </c>
      <c r="B28" s="125" t="s">
        <v>98</v>
      </c>
      <c r="C28" s="127">
        <v>55140200</v>
      </c>
      <c r="D28" s="127"/>
      <c r="E28" s="127">
        <v>85274298</v>
      </c>
      <c r="F28" s="127"/>
      <c r="G28" s="127">
        <f t="shared" si="2"/>
        <v>30134098</v>
      </c>
      <c r="H28" s="127"/>
      <c r="I28" s="128">
        <f t="shared" si="3"/>
        <v>0.5464996137119561</v>
      </c>
      <c r="J28" s="125"/>
      <c r="K28" s="125"/>
      <c r="L28" s="125"/>
    </row>
    <row r="29" spans="1:12" ht="15.75" x14ac:dyDescent="0.25">
      <c r="A29" s="125">
        <v>5111</v>
      </c>
      <c r="B29" s="125" t="s">
        <v>99</v>
      </c>
      <c r="C29" s="127">
        <v>6439705405</v>
      </c>
      <c r="D29" s="127"/>
      <c r="E29" s="127">
        <v>6749547805.7200003</v>
      </c>
      <c r="F29" s="127"/>
      <c r="G29" s="127">
        <f t="shared" si="2"/>
        <v>309842400.72000027</v>
      </c>
      <c r="H29" s="127"/>
      <c r="I29" s="128">
        <f t="shared" si="3"/>
        <v>4.8114374996009658E-2</v>
      </c>
      <c r="J29" s="125"/>
      <c r="K29" s="125"/>
      <c r="L29" s="125"/>
    </row>
    <row r="30" spans="1:12" ht="15.75" x14ac:dyDescent="0.25">
      <c r="A30" s="125">
        <v>5120</v>
      </c>
      <c r="B30" s="125" t="s">
        <v>170</v>
      </c>
      <c r="C30" s="127">
        <v>240004907</v>
      </c>
      <c r="D30" s="127"/>
      <c r="E30" s="127">
        <v>243018063.80000001</v>
      </c>
      <c r="F30" s="127"/>
      <c r="G30" s="127">
        <f t="shared" si="2"/>
        <v>3013156.8000000119</v>
      </c>
      <c r="H30" s="127"/>
      <c r="I30" s="128">
        <f t="shared" si="3"/>
        <v>1.255456331149101E-2</v>
      </c>
      <c r="J30" s="125"/>
      <c r="K30" s="125"/>
      <c r="L30" s="125"/>
    </row>
    <row r="31" spans="1:12" ht="15.75" x14ac:dyDescent="0.25">
      <c r="A31" s="125">
        <v>53</v>
      </c>
      <c r="B31" s="125" t="s">
        <v>171</v>
      </c>
      <c r="C31" s="127">
        <f>+C32</f>
        <v>39531217</v>
      </c>
      <c r="D31" s="127"/>
      <c r="E31" s="127">
        <f>+E32</f>
        <v>34269505</v>
      </c>
      <c r="F31" s="127"/>
      <c r="G31" s="127">
        <f t="shared" si="2"/>
        <v>-5261712</v>
      </c>
      <c r="H31" s="127"/>
      <c r="I31" s="128">
        <f t="shared" si="3"/>
        <v>-0.13310270715925593</v>
      </c>
      <c r="J31" s="125"/>
      <c r="K31" s="125"/>
      <c r="L31" s="125"/>
    </row>
    <row r="32" spans="1:12" ht="15.75" x14ac:dyDescent="0.25">
      <c r="A32" s="125">
        <v>5330</v>
      </c>
      <c r="B32" s="125" t="s">
        <v>172</v>
      </c>
      <c r="C32" s="127">
        <v>39531217</v>
      </c>
      <c r="D32" s="127"/>
      <c r="E32" s="127">
        <v>34269505</v>
      </c>
      <c r="F32" s="127"/>
      <c r="G32" s="127">
        <f t="shared" si="2"/>
        <v>-5261712</v>
      </c>
      <c r="H32" s="127"/>
      <c r="I32" s="128">
        <f t="shared" si="3"/>
        <v>-0.13310270715925593</v>
      </c>
      <c r="J32" s="125"/>
      <c r="K32" s="125"/>
      <c r="L32" s="125"/>
    </row>
    <row r="33" spans="1:12" ht="15.75" x14ac:dyDescent="0.25">
      <c r="A33" s="125">
        <v>55</v>
      </c>
      <c r="B33" s="125" t="s">
        <v>100</v>
      </c>
      <c r="C33" s="127">
        <v>31730048</v>
      </c>
      <c r="D33" s="127"/>
      <c r="E33" s="127">
        <f>E34</f>
        <v>45518618</v>
      </c>
      <c r="F33" s="127"/>
      <c r="G33" s="127">
        <f t="shared" si="2"/>
        <v>13788570</v>
      </c>
      <c r="H33" s="127"/>
      <c r="I33" s="128">
        <f t="shared" si="3"/>
        <v>0.43455875011597839</v>
      </c>
      <c r="J33" s="125"/>
      <c r="K33" s="125"/>
      <c r="L33" s="125"/>
    </row>
    <row r="34" spans="1:12" ht="15.75" x14ac:dyDescent="0.25">
      <c r="A34" s="125">
        <v>5501</v>
      </c>
      <c r="B34" s="125" t="s">
        <v>101</v>
      </c>
      <c r="C34" s="127">
        <v>31730048</v>
      </c>
      <c r="D34" s="127"/>
      <c r="E34" s="127">
        <v>45518618</v>
      </c>
      <c r="F34" s="127"/>
      <c r="G34" s="127">
        <f t="shared" si="2"/>
        <v>13788570</v>
      </c>
      <c r="H34" s="127"/>
      <c r="I34" s="128">
        <f t="shared" si="3"/>
        <v>0.43455875011597839</v>
      </c>
      <c r="J34" s="125"/>
      <c r="K34" s="125"/>
      <c r="L34" s="125"/>
    </row>
    <row r="35" spans="1:12" ht="15.75" x14ac:dyDescent="0.25">
      <c r="A35" s="125">
        <v>58</v>
      </c>
      <c r="B35" s="125" t="s">
        <v>102</v>
      </c>
      <c r="C35" s="127">
        <v>12872860</v>
      </c>
      <c r="D35" s="127"/>
      <c r="E35" s="127">
        <f>E36+E37</f>
        <v>19614061.690000001</v>
      </c>
      <c r="F35" s="127"/>
      <c r="G35" s="127">
        <f t="shared" si="2"/>
        <v>6741201.6900000013</v>
      </c>
      <c r="H35" s="127"/>
      <c r="I35" s="128">
        <f t="shared" si="3"/>
        <v>0.52367552276650264</v>
      </c>
      <c r="J35" s="125"/>
      <c r="K35" s="125"/>
      <c r="L35" s="125"/>
    </row>
    <row r="36" spans="1:12" ht="15.75" x14ac:dyDescent="0.25">
      <c r="A36" s="125">
        <v>5802</v>
      </c>
      <c r="B36" s="125" t="s">
        <v>103</v>
      </c>
      <c r="C36" s="127">
        <v>8188710</v>
      </c>
      <c r="D36" s="127"/>
      <c r="E36" s="127">
        <v>5440425.79</v>
      </c>
      <c r="F36" s="127"/>
      <c r="G36" s="127">
        <f t="shared" si="2"/>
        <v>-2748284.21</v>
      </c>
      <c r="H36" s="127"/>
      <c r="I36" s="128">
        <f t="shared" si="3"/>
        <v>-0.33561870062561744</v>
      </c>
      <c r="J36" s="125"/>
      <c r="K36" s="125"/>
      <c r="L36" s="125"/>
    </row>
    <row r="37" spans="1:12" ht="15.75" x14ac:dyDescent="0.25">
      <c r="A37" s="125"/>
      <c r="B37" s="125" t="s">
        <v>104</v>
      </c>
      <c r="C37" s="127">
        <v>4684150</v>
      </c>
      <c r="D37" s="127"/>
      <c r="E37" s="127">
        <f>10630829+3542806.9</f>
        <v>14173635.9</v>
      </c>
      <c r="F37" s="127"/>
      <c r="G37" s="127">
        <f t="shared" si="2"/>
        <v>9489485.9000000004</v>
      </c>
      <c r="H37" s="127"/>
      <c r="I37" s="128">
        <f t="shared" si="3"/>
        <v>2.0258714814854351</v>
      </c>
      <c r="J37" s="125"/>
      <c r="K37" s="125"/>
      <c r="L37" s="125"/>
    </row>
    <row r="38" spans="1:12" ht="15.75" x14ac:dyDescent="0.25">
      <c r="A38" s="126"/>
      <c r="B38" s="126" t="s">
        <v>105</v>
      </c>
      <c r="C38" s="129">
        <f>C25+C31+C33+C35</f>
        <v>8606166663</v>
      </c>
      <c r="D38" s="129"/>
      <c r="E38" s="129">
        <f>E25+E31+E33+E35</f>
        <v>9161129456.210001</v>
      </c>
      <c r="F38" s="129"/>
      <c r="G38" s="127">
        <f t="shared" si="2"/>
        <v>554962793.21000099</v>
      </c>
      <c r="H38" s="127"/>
      <c r="I38" s="128">
        <f t="shared" si="3"/>
        <v>6.4484318621892467E-2</v>
      </c>
      <c r="J38" s="126"/>
      <c r="K38" s="125"/>
      <c r="L38" s="125"/>
    </row>
    <row r="39" spans="1:12" ht="15.75" x14ac:dyDescent="0.25">
      <c r="A39" s="125"/>
      <c r="B39" s="125"/>
      <c r="C39" s="125"/>
      <c r="D39" s="125"/>
      <c r="E39" s="125"/>
      <c r="F39" s="125"/>
      <c r="G39" s="125" t="s">
        <v>20</v>
      </c>
      <c r="H39" s="125"/>
      <c r="I39" s="125" t="s">
        <v>20</v>
      </c>
      <c r="J39" s="125"/>
      <c r="K39" s="125"/>
      <c r="L39" s="125"/>
    </row>
    <row r="40" spans="1:12" ht="15.75" x14ac:dyDescent="0.25">
      <c r="A40" s="126"/>
      <c r="B40" s="126" t="s">
        <v>173</v>
      </c>
      <c r="C40" s="129">
        <f>C19-C38-C23</f>
        <v>-365545196</v>
      </c>
      <c r="D40" s="129"/>
      <c r="E40" s="129">
        <f>E19-E38-E23</f>
        <v>259265843.69999886</v>
      </c>
      <c r="F40" s="129"/>
      <c r="G40" s="129">
        <f>E40-C40</f>
        <v>624811039.69999886</v>
      </c>
      <c r="H40" s="129"/>
      <c r="I40" s="130">
        <f>-G40/C40</f>
        <v>1.7092579701143134</v>
      </c>
      <c r="J40" s="126"/>
      <c r="K40" s="125"/>
      <c r="L40" s="125"/>
    </row>
    <row r="41" spans="1:12" ht="15.75" x14ac:dyDescent="0.25">
      <c r="A41" s="125"/>
      <c r="B41" s="125"/>
      <c r="C41" s="125"/>
      <c r="D41" s="125"/>
      <c r="E41" s="125"/>
      <c r="F41" s="125"/>
      <c r="G41" s="125"/>
      <c r="H41" s="125"/>
      <c r="I41" s="125"/>
      <c r="J41" s="125"/>
      <c r="K41" s="125"/>
      <c r="L41" s="125"/>
    </row>
    <row r="42" spans="1:12" ht="15.75" x14ac:dyDescent="0.25">
      <c r="A42" s="125"/>
      <c r="B42" s="125"/>
      <c r="C42" s="125"/>
      <c r="D42" s="125"/>
      <c r="E42" s="125"/>
      <c r="F42" s="125"/>
      <c r="G42" s="125"/>
      <c r="H42" s="125"/>
      <c r="I42" s="125"/>
      <c r="J42" s="125"/>
      <c r="K42" s="125"/>
      <c r="L42" s="125"/>
    </row>
    <row r="43" spans="1:12" ht="15.75" x14ac:dyDescent="0.25">
      <c r="A43" s="126" t="s">
        <v>37</v>
      </c>
      <c r="B43" s="125"/>
      <c r="C43" s="126" t="s">
        <v>30</v>
      </c>
      <c r="D43" s="126"/>
      <c r="E43" s="126"/>
      <c r="F43" s="126"/>
      <c r="G43" s="125"/>
      <c r="H43" s="125"/>
      <c r="I43" s="125"/>
      <c r="J43" s="125"/>
      <c r="K43" s="125"/>
      <c r="L43" s="125"/>
    </row>
    <row r="44" spans="1:12" ht="15.75" x14ac:dyDescent="0.25">
      <c r="A44" s="125" t="s">
        <v>174</v>
      </c>
      <c r="B44" s="125"/>
      <c r="C44" s="125" t="s">
        <v>29</v>
      </c>
      <c r="D44" s="125"/>
      <c r="E44" s="125"/>
      <c r="F44" s="125"/>
      <c r="G44" s="125"/>
      <c r="H44" s="125"/>
      <c r="I44" s="125"/>
      <c r="J44" s="125"/>
      <c r="K44" s="125"/>
      <c r="L44" s="125"/>
    </row>
    <row r="45" spans="1:12" ht="15.75" x14ac:dyDescent="0.25">
      <c r="A45" s="125"/>
      <c r="B45" s="125"/>
      <c r="C45" s="125" t="s">
        <v>106</v>
      </c>
      <c r="D45" s="125"/>
      <c r="E45" s="125"/>
      <c r="F45" s="125"/>
      <c r="G45" s="125"/>
      <c r="H45" s="125"/>
      <c r="I45" s="125"/>
      <c r="J45" s="125"/>
      <c r="K45" s="125"/>
      <c r="L45" s="125"/>
    </row>
  </sheetData>
  <mergeCells count="3">
    <mergeCell ref="B1:J1"/>
    <mergeCell ref="B2:J2"/>
    <mergeCell ref="B3:J3"/>
  </mergeCells>
  <pageMargins left="0.70866141732283472" right="0.70866141732283472" top="0.74803149606299213" bottom="0.74803149606299213" header="0.31496062992125984" footer="0.31496062992125984"/>
  <pageSetup scale="75"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topLeftCell="A110" workbookViewId="0">
      <selection activeCell="G138" sqref="G138"/>
    </sheetView>
  </sheetViews>
  <sheetFormatPr baseColWidth="10" defaultRowHeight="15" x14ac:dyDescent="0.25"/>
  <cols>
    <col min="1" max="1" width="4.42578125" customWidth="1"/>
    <col min="2" max="2" width="31" customWidth="1"/>
    <col min="3" max="3" width="19.85546875" customWidth="1"/>
    <col min="4" max="4" width="17.7109375" customWidth="1"/>
    <col min="5" max="5" width="13.42578125" customWidth="1"/>
    <col min="6" max="6" width="18.42578125" customWidth="1"/>
    <col min="7" max="7" width="15.42578125" customWidth="1"/>
    <col min="8" max="8" width="24.85546875" customWidth="1"/>
  </cols>
  <sheetData>
    <row r="1" spans="1:14" x14ac:dyDescent="0.25">
      <c r="A1" s="168" t="s">
        <v>0</v>
      </c>
      <c r="B1" s="168"/>
      <c r="C1" s="168"/>
      <c r="D1" s="168"/>
      <c r="E1" s="168"/>
      <c r="F1" s="168"/>
      <c r="G1" s="168"/>
    </row>
    <row r="2" spans="1:14" x14ac:dyDescent="0.25">
      <c r="A2" s="168" t="s">
        <v>47</v>
      </c>
      <c r="B2" s="168"/>
      <c r="C2" s="168"/>
      <c r="D2" s="168"/>
      <c r="E2" s="168"/>
      <c r="F2" s="168"/>
      <c r="G2" s="168"/>
    </row>
    <row r="3" spans="1:14" x14ac:dyDescent="0.25">
      <c r="A3" s="168" t="s">
        <v>179</v>
      </c>
      <c r="B3" s="168"/>
      <c r="C3" s="168"/>
      <c r="D3" s="168"/>
      <c r="E3" s="168"/>
      <c r="F3" s="168"/>
      <c r="G3" s="168"/>
    </row>
    <row r="4" spans="1:14" ht="15.75" x14ac:dyDescent="0.25">
      <c r="A4" s="25"/>
      <c r="B4" s="26" t="s">
        <v>20</v>
      </c>
      <c r="C4" s="26">
        <v>2016</v>
      </c>
      <c r="D4" s="26">
        <v>2017</v>
      </c>
      <c r="E4" s="26"/>
      <c r="F4" s="26" t="s">
        <v>40</v>
      </c>
      <c r="G4" s="27" t="s">
        <v>175</v>
      </c>
    </row>
    <row r="5" spans="1:14" ht="15.75" x14ac:dyDescent="0.25">
      <c r="A5" s="25"/>
      <c r="B5" s="28" t="s">
        <v>3</v>
      </c>
      <c r="C5" s="28"/>
      <c r="D5" s="28"/>
      <c r="E5" s="29"/>
      <c r="F5" s="30"/>
      <c r="G5" s="31"/>
    </row>
    <row r="6" spans="1:14" ht="15.75" x14ac:dyDescent="0.25">
      <c r="A6" s="32"/>
      <c r="B6" s="28" t="s">
        <v>4</v>
      </c>
      <c r="C6" s="33">
        <f>C7+C8</f>
        <v>185923519.63999999</v>
      </c>
      <c r="D6" s="33">
        <f>D7+D8</f>
        <v>344768952.75999999</v>
      </c>
      <c r="E6" s="34"/>
      <c r="F6" s="35">
        <f>(D6-C6)/D6</f>
        <v>0.46073009720969638</v>
      </c>
      <c r="G6" s="36">
        <f>D6/D16</f>
        <v>0.61008083882687036</v>
      </c>
    </row>
    <row r="7" spans="1:14" ht="15.75" x14ac:dyDescent="0.25">
      <c r="A7" s="25"/>
      <c r="B7" s="31" t="s">
        <v>5</v>
      </c>
      <c r="C7" s="29">
        <v>31146954.640000001</v>
      </c>
      <c r="D7" s="29">
        <v>198968694.75999999</v>
      </c>
      <c r="E7" s="37"/>
      <c r="F7" s="35">
        <f t="shared" ref="F7:F25" si="0">(D7-C7)/D7</f>
        <v>0.8434580139475204</v>
      </c>
      <c r="G7" s="38"/>
    </row>
    <row r="8" spans="1:14" ht="15.75" x14ac:dyDescent="0.25">
      <c r="A8" s="25"/>
      <c r="B8" s="39" t="s">
        <v>6</v>
      </c>
      <c r="C8" s="40">
        <v>154776565</v>
      </c>
      <c r="D8" s="40">
        <v>145800258</v>
      </c>
      <c r="E8" s="41"/>
      <c r="F8" s="35">
        <f t="shared" si="0"/>
        <v>-6.1565782688807039E-2</v>
      </c>
      <c r="G8" s="38"/>
      <c r="N8" t="s">
        <v>20</v>
      </c>
    </row>
    <row r="9" spans="1:14" ht="15.75" x14ac:dyDescent="0.25">
      <c r="A9" s="25"/>
      <c r="B9" s="31"/>
      <c r="C9" s="29"/>
      <c r="D9" s="29"/>
      <c r="E9" s="42"/>
      <c r="F9" s="35" t="s">
        <v>20</v>
      </c>
      <c r="G9" s="38"/>
    </row>
    <row r="10" spans="1:14" ht="15.75" x14ac:dyDescent="0.25">
      <c r="A10" s="32"/>
      <c r="B10" s="28" t="s">
        <v>48</v>
      </c>
      <c r="C10" s="33">
        <f>SUM(C11:C14)</f>
        <v>219280466</v>
      </c>
      <c r="D10" s="33">
        <f>SUM(D11:D14)</f>
        <v>220351160.54000002</v>
      </c>
      <c r="E10" s="34"/>
      <c r="F10" s="35">
        <f t="shared" si="0"/>
        <v>4.8590374444869777E-3</v>
      </c>
      <c r="G10" s="36">
        <f>D10/D16</f>
        <v>0.38991916117312975</v>
      </c>
    </row>
    <row r="11" spans="1:14" ht="15.75" x14ac:dyDescent="0.25">
      <c r="A11" s="25"/>
      <c r="B11" s="39" t="s">
        <v>49</v>
      </c>
      <c r="C11" s="40"/>
      <c r="D11" s="40"/>
      <c r="E11" s="42"/>
      <c r="F11" s="35" t="s">
        <v>20</v>
      </c>
      <c r="G11" s="38"/>
      <c r="H11" t="s">
        <v>20</v>
      </c>
    </row>
    <row r="12" spans="1:14" ht="15.75" x14ac:dyDescent="0.25">
      <c r="A12" s="25"/>
      <c r="B12" s="39" t="s">
        <v>50</v>
      </c>
      <c r="C12" s="40">
        <v>539672178</v>
      </c>
      <c r="D12" s="40">
        <v>569002378</v>
      </c>
      <c r="E12" s="41"/>
      <c r="F12" s="35">
        <f t="shared" si="0"/>
        <v>5.154670900162741E-2</v>
      </c>
      <c r="G12" s="38"/>
      <c r="H12" t="s">
        <v>20</v>
      </c>
    </row>
    <row r="13" spans="1:14" ht="15.75" x14ac:dyDescent="0.25">
      <c r="A13" s="25"/>
      <c r="B13" s="39" t="s">
        <v>51</v>
      </c>
      <c r="C13" s="40">
        <v>-330894912</v>
      </c>
      <c r="D13" s="40">
        <v>-365164417.07999998</v>
      </c>
      <c r="E13" s="41"/>
      <c r="F13" s="35">
        <f t="shared" si="0"/>
        <v>9.3846781003561586E-2</v>
      </c>
      <c r="G13" s="38"/>
    </row>
    <row r="14" spans="1:14" ht="15.75" x14ac:dyDescent="0.25">
      <c r="A14" s="25"/>
      <c r="B14" s="39" t="s">
        <v>10</v>
      </c>
      <c r="C14" s="40">
        <v>10503200</v>
      </c>
      <c r="D14" s="40">
        <v>16513199.619999999</v>
      </c>
      <c r="E14" s="42"/>
      <c r="F14" s="35">
        <f t="shared" si="0"/>
        <v>0.3639512485951526</v>
      </c>
      <c r="G14" s="38"/>
    </row>
    <row r="15" spans="1:14" ht="15.75" x14ac:dyDescent="0.25">
      <c r="A15" s="25"/>
      <c r="B15" s="31"/>
      <c r="C15" s="29"/>
      <c r="D15" s="29"/>
      <c r="E15" s="42"/>
      <c r="F15" s="35" t="s">
        <v>20</v>
      </c>
      <c r="G15" s="38"/>
    </row>
    <row r="16" spans="1:14" ht="15.75" x14ac:dyDescent="0.25">
      <c r="A16" s="25"/>
      <c r="B16" s="28" t="s">
        <v>52</v>
      </c>
      <c r="C16" s="33">
        <f>C6+C10</f>
        <v>405203985.63999999</v>
      </c>
      <c r="D16" s="33">
        <f>D6+D10</f>
        <v>565120113.29999995</v>
      </c>
      <c r="E16" s="33"/>
      <c r="F16" s="35">
        <f t="shared" si="0"/>
        <v>0.28297723598294017</v>
      </c>
      <c r="G16" s="36">
        <v>1</v>
      </c>
    </row>
    <row r="17" spans="1:9" ht="15.75" x14ac:dyDescent="0.25">
      <c r="A17" s="25"/>
      <c r="B17" s="28" t="s">
        <v>53</v>
      </c>
      <c r="C17" s="33"/>
      <c r="D17" s="33"/>
      <c r="E17" s="29"/>
      <c r="F17" s="35" t="s">
        <v>20</v>
      </c>
      <c r="G17" s="38"/>
    </row>
    <row r="18" spans="1:9" ht="15.75" x14ac:dyDescent="0.25">
      <c r="A18" s="25"/>
      <c r="B18" s="28" t="s">
        <v>4</v>
      </c>
      <c r="C18" s="33">
        <f>C19+C20</f>
        <v>343587155</v>
      </c>
      <c r="D18" s="33">
        <f>D19+D20</f>
        <v>244237439</v>
      </c>
      <c r="E18" s="34"/>
      <c r="F18" s="35">
        <f t="shared" si="0"/>
        <v>-0.40677512999962301</v>
      </c>
      <c r="G18" s="36">
        <f>D18/D21</f>
        <v>1</v>
      </c>
    </row>
    <row r="19" spans="1:9" ht="15.75" x14ac:dyDescent="0.25">
      <c r="A19" s="25"/>
      <c r="B19" s="31" t="s">
        <v>54</v>
      </c>
      <c r="C19" s="29">
        <v>57848816</v>
      </c>
      <c r="D19" s="29">
        <v>57848816</v>
      </c>
      <c r="E19" s="42"/>
      <c r="F19" s="35">
        <f t="shared" si="0"/>
        <v>0</v>
      </c>
      <c r="G19" s="38" t="s">
        <v>20</v>
      </c>
    </row>
    <row r="20" spans="1:9" ht="15.75" x14ac:dyDescent="0.25">
      <c r="A20" s="25"/>
      <c r="B20" s="31" t="s">
        <v>14</v>
      </c>
      <c r="C20" s="29">
        <f>162085457+123652882</f>
        <v>285738339</v>
      </c>
      <c r="D20" s="29">
        <f>88904029+97484594</f>
        <v>186388623</v>
      </c>
      <c r="E20" s="42"/>
      <c r="F20" s="35">
        <f t="shared" si="0"/>
        <v>-0.53302457199868902</v>
      </c>
      <c r="G20" s="38" t="s">
        <v>20</v>
      </c>
    </row>
    <row r="21" spans="1:9" ht="15.75" x14ac:dyDescent="0.25">
      <c r="A21" s="25"/>
      <c r="B21" s="28" t="s">
        <v>55</v>
      </c>
      <c r="C21" s="33">
        <f>C18</f>
        <v>343587155</v>
      </c>
      <c r="D21" s="33">
        <f>D18</f>
        <v>244237439</v>
      </c>
      <c r="E21" s="33"/>
      <c r="F21" s="35">
        <f t="shared" si="0"/>
        <v>-0.40677512999962301</v>
      </c>
      <c r="G21" s="36">
        <v>1</v>
      </c>
    </row>
    <row r="22" spans="1:9" ht="15.75" x14ac:dyDescent="0.25">
      <c r="A22" s="25"/>
      <c r="B22" s="28" t="s">
        <v>15</v>
      </c>
      <c r="C22" s="33">
        <f>SUM(C23:C24)</f>
        <v>61616830</v>
      </c>
      <c r="D22" s="33">
        <f>SUM(D23:D24)</f>
        <v>320882674</v>
      </c>
      <c r="E22" s="33"/>
      <c r="F22" s="35">
        <f t="shared" si="0"/>
        <v>0.80797707388838325</v>
      </c>
      <c r="G22" s="36">
        <f>D22/D16</f>
        <v>0.56781322491994912</v>
      </c>
    </row>
    <row r="23" spans="1:9" ht="15.75" x14ac:dyDescent="0.25">
      <c r="A23" s="25"/>
      <c r="B23" s="31" t="s">
        <v>56</v>
      </c>
      <c r="C23" s="29">
        <f>426793026+369000</f>
        <v>427162026</v>
      </c>
      <c r="D23" s="29">
        <f>61247830+369000</f>
        <v>61616830</v>
      </c>
      <c r="E23" s="37"/>
      <c r="F23" s="35">
        <f t="shared" si="0"/>
        <v>-5.9325544011270948</v>
      </c>
      <c r="G23" s="36" t="s">
        <v>20</v>
      </c>
    </row>
    <row r="24" spans="1:9" ht="15.75" x14ac:dyDescent="0.25">
      <c r="A24" s="25"/>
      <c r="B24" s="31" t="s">
        <v>28</v>
      </c>
      <c r="C24" s="29">
        <v>-365545196</v>
      </c>
      <c r="D24" s="29">
        <v>259265844</v>
      </c>
      <c r="E24" s="37"/>
      <c r="F24" s="35">
        <f t="shared" si="0"/>
        <v>2.4099242320558045</v>
      </c>
      <c r="G24" s="36" t="s">
        <v>20</v>
      </c>
    </row>
    <row r="25" spans="1:9" ht="15.75" x14ac:dyDescent="0.25">
      <c r="A25" s="25"/>
      <c r="B25" s="28" t="s">
        <v>57</v>
      </c>
      <c r="C25" s="33">
        <f>C21+C22</f>
        <v>405203985</v>
      </c>
      <c r="D25" s="33">
        <f>D21+D22</f>
        <v>565120113</v>
      </c>
      <c r="E25" s="33"/>
      <c r="F25" s="35">
        <f t="shared" si="0"/>
        <v>0.28297723673480368</v>
      </c>
      <c r="G25" s="36">
        <f>D25/D18</f>
        <v>2.3138144393988669</v>
      </c>
    </row>
    <row r="26" spans="1:9" ht="15.75" x14ac:dyDescent="0.25">
      <c r="A26" s="25"/>
      <c r="B26" s="31"/>
      <c r="C26" s="29"/>
      <c r="D26" s="29"/>
      <c r="E26" s="29"/>
      <c r="F26" s="35" t="s">
        <v>20</v>
      </c>
      <c r="G26" s="36" t="s">
        <v>20</v>
      </c>
    </row>
    <row r="27" spans="1:9" ht="15.75" x14ac:dyDescent="0.25">
      <c r="A27" s="25"/>
      <c r="B27" s="28" t="s">
        <v>21</v>
      </c>
      <c r="C27" s="33"/>
      <c r="D27" s="33"/>
      <c r="E27" s="29"/>
      <c r="F27" s="35" t="s">
        <v>20</v>
      </c>
      <c r="G27" s="36" t="s">
        <v>20</v>
      </c>
    </row>
    <row r="28" spans="1:9" ht="15.75" x14ac:dyDescent="0.25">
      <c r="A28" s="25"/>
      <c r="B28" s="31" t="s">
        <v>58</v>
      </c>
      <c r="C28" s="29">
        <v>8359785613</v>
      </c>
      <c r="D28" s="29">
        <v>9454034592</v>
      </c>
      <c r="E28" s="42"/>
      <c r="F28" s="35">
        <f t="shared" ref="F28" si="1">(D28-C28)/D28</f>
        <v>0.11574412684357566</v>
      </c>
      <c r="G28" s="36">
        <f>D28/D21</f>
        <v>38.708375876804048</v>
      </c>
      <c r="H28" s="23" t="s">
        <v>20</v>
      </c>
      <c r="I28" t="s">
        <v>20</v>
      </c>
    </row>
    <row r="29" spans="1:9" ht="15.75" x14ac:dyDescent="0.25">
      <c r="A29" s="25"/>
      <c r="B29" s="28" t="s">
        <v>23</v>
      </c>
      <c r="C29" s="33"/>
      <c r="D29" s="33"/>
      <c r="E29" s="42"/>
      <c r="F29" s="35" t="s">
        <v>20</v>
      </c>
      <c r="G29" s="36" t="s">
        <v>20</v>
      </c>
    </row>
    <row r="30" spans="1:9" ht="15.75" x14ac:dyDescent="0.25">
      <c r="A30" s="25"/>
      <c r="B30" s="31" t="s">
        <v>59</v>
      </c>
      <c r="C30" s="29">
        <f>119164146+8606166663</f>
        <v>8725330809</v>
      </c>
      <c r="D30" s="29">
        <f>9161129456+13608468</f>
        <v>9174737924</v>
      </c>
      <c r="E30" s="42"/>
      <c r="F30" s="35">
        <f>+(D30-C30)/D30</f>
        <v>4.8983101067596228E-2</v>
      </c>
      <c r="G30" s="36">
        <f>D30/D22</f>
        <v>28.592188570455505</v>
      </c>
    </row>
    <row r="31" spans="1:9" ht="15.75" x14ac:dyDescent="0.25">
      <c r="A31" s="25"/>
      <c r="B31" s="28" t="s">
        <v>60</v>
      </c>
      <c r="C31" s="33">
        <f>C28-C30</f>
        <v>-365545196</v>
      </c>
      <c r="D31" s="33">
        <f>D28-D30</f>
        <v>279296668</v>
      </c>
      <c r="E31" s="33"/>
      <c r="F31" s="35">
        <f t="shared" ref="F31:F33" si="2">+(D31-C31)/D31</f>
        <v>2.3088061473042707</v>
      </c>
      <c r="G31" s="36">
        <f>D31/D23</f>
        <v>4.5327983929066136</v>
      </c>
    </row>
    <row r="32" spans="1:9" ht="15.75" x14ac:dyDescent="0.25">
      <c r="A32" s="25"/>
      <c r="B32" s="31"/>
      <c r="C32" s="29"/>
      <c r="D32" s="29"/>
      <c r="E32" s="42"/>
      <c r="F32" s="35" t="s">
        <v>20</v>
      </c>
      <c r="G32" s="36" t="s">
        <v>20</v>
      </c>
    </row>
    <row r="33" spans="1:7" ht="15.75" x14ac:dyDescent="0.25">
      <c r="A33" s="25"/>
      <c r="B33" s="28" t="s">
        <v>61</v>
      </c>
      <c r="C33" s="33">
        <f>C31</f>
        <v>-365545196</v>
      </c>
      <c r="D33" s="33">
        <f>D31</f>
        <v>279296668</v>
      </c>
      <c r="E33" s="33"/>
      <c r="F33" s="35">
        <f t="shared" si="2"/>
        <v>2.3088061473042707</v>
      </c>
      <c r="G33" s="36">
        <f>D33/D25</f>
        <v>0.49422531878634446</v>
      </c>
    </row>
    <row r="34" spans="1:7" ht="15.75" x14ac:dyDescent="0.25">
      <c r="A34" s="25"/>
      <c r="B34" s="43"/>
      <c r="C34" s="43"/>
      <c r="D34" s="44" t="s">
        <v>20</v>
      </c>
      <c r="E34" s="44">
        <f>E16-E21-E22</f>
        <v>0</v>
      </c>
      <c r="F34" s="30" t="s">
        <v>20</v>
      </c>
      <c r="G34" s="43"/>
    </row>
    <row r="35" spans="1:7" x14ac:dyDescent="0.25">
      <c r="A35" s="25"/>
      <c r="B35" s="164" t="s">
        <v>62</v>
      </c>
      <c r="C35" s="164"/>
      <c r="D35" s="164"/>
      <c r="E35" s="164"/>
      <c r="F35" s="164"/>
      <c r="G35" s="164"/>
    </row>
    <row r="36" spans="1:7" ht="15.75" thickBot="1" x14ac:dyDescent="0.3">
      <c r="A36" s="25"/>
      <c r="D36" s="23"/>
      <c r="E36" s="23"/>
    </row>
    <row r="37" spans="1:7" x14ac:dyDescent="0.25">
      <c r="A37" s="25"/>
      <c r="B37" s="45" t="s">
        <v>63</v>
      </c>
      <c r="C37" s="46"/>
      <c r="D37" s="47"/>
      <c r="E37" s="47"/>
      <c r="F37" s="48"/>
      <c r="G37" s="49"/>
    </row>
    <row r="38" spans="1:7" ht="15.75" thickBot="1" x14ac:dyDescent="0.3">
      <c r="A38" s="25"/>
      <c r="B38" s="50"/>
      <c r="C38" s="14"/>
      <c r="D38" s="15"/>
      <c r="E38" s="15"/>
      <c r="F38" s="14"/>
      <c r="G38" s="51"/>
    </row>
    <row r="39" spans="1:7" ht="15.75" thickBot="1" x14ac:dyDescent="0.3">
      <c r="A39" s="25"/>
      <c r="B39" s="52" t="s">
        <v>64</v>
      </c>
      <c r="C39" s="53"/>
      <c r="D39" s="15"/>
      <c r="E39" s="15"/>
      <c r="F39" s="14"/>
      <c r="G39" s="51"/>
    </row>
    <row r="40" spans="1:7" x14ac:dyDescent="0.25">
      <c r="A40" s="25"/>
      <c r="B40" s="50"/>
      <c r="C40" s="14"/>
      <c r="D40" s="15"/>
      <c r="E40" s="15"/>
      <c r="F40" s="14"/>
      <c r="G40" s="51"/>
    </row>
    <row r="41" spans="1:7" x14ac:dyDescent="0.25">
      <c r="A41" s="25"/>
      <c r="B41" s="54" t="s">
        <v>65</v>
      </c>
      <c r="C41" s="53"/>
      <c r="D41" s="55">
        <v>2016</v>
      </c>
      <c r="E41" s="15"/>
      <c r="F41" s="56">
        <v>2017</v>
      </c>
      <c r="G41" s="51"/>
    </row>
    <row r="42" spans="1:7" x14ac:dyDescent="0.25">
      <c r="A42" s="25"/>
      <c r="B42" s="57" t="s">
        <v>66</v>
      </c>
      <c r="C42" s="20"/>
      <c r="D42" s="15">
        <f>C33</f>
        <v>-365545196</v>
      </c>
      <c r="E42" s="15"/>
      <c r="F42" s="15">
        <f>D33</f>
        <v>279296668</v>
      </c>
      <c r="G42" s="51"/>
    </row>
    <row r="43" spans="1:7" x14ac:dyDescent="0.25">
      <c r="A43" s="25"/>
      <c r="B43" s="58" t="s">
        <v>67</v>
      </c>
      <c r="C43" s="59"/>
      <c r="D43" s="15"/>
      <c r="E43" s="15"/>
      <c r="F43" s="14"/>
      <c r="G43" s="51"/>
    </row>
    <row r="44" spans="1:7" x14ac:dyDescent="0.25">
      <c r="A44" s="25"/>
      <c r="B44" s="54" t="s">
        <v>68</v>
      </c>
      <c r="C44" s="53"/>
      <c r="D44" s="55">
        <v>2016</v>
      </c>
      <c r="E44" s="15"/>
      <c r="F44" s="56">
        <v>2017</v>
      </c>
      <c r="G44" s="51"/>
    </row>
    <row r="45" spans="1:7" x14ac:dyDescent="0.25">
      <c r="A45" s="25"/>
      <c r="B45" s="60" t="s">
        <v>69</v>
      </c>
      <c r="C45" s="61"/>
      <c r="D45" s="15">
        <f>C22+C20</f>
        <v>347355169</v>
      </c>
      <c r="E45" s="15"/>
      <c r="F45" s="15">
        <f>D22+D10</f>
        <v>541233834.53999996</v>
      </c>
      <c r="G45" s="51"/>
    </row>
    <row r="46" spans="1:7" x14ac:dyDescent="0.25">
      <c r="A46" s="25"/>
      <c r="B46" s="58" t="s">
        <v>70</v>
      </c>
      <c r="C46" s="59"/>
      <c r="D46" s="15"/>
      <c r="E46" s="15"/>
      <c r="F46" s="14"/>
      <c r="G46" s="51"/>
    </row>
    <row r="47" spans="1:7" x14ac:dyDescent="0.25">
      <c r="A47" s="25"/>
      <c r="B47" s="58" t="s">
        <v>71</v>
      </c>
      <c r="C47" s="59"/>
      <c r="D47" s="15"/>
      <c r="E47" s="15"/>
      <c r="F47" s="14"/>
      <c r="G47" s="51"/>
    </row>
    <row r="48" spans="1:7" ht="15.75" thickBot="1" x14ac:dyDescent="0.3">
      <c r="A48" s="25"/>
      <c r="B48" s="62" t="s">
        <v>72</v>
      </c>
      <c r="C48" s="63"/>
      <c r="D48" s="173">
        <v>2017</v>
      </c>
      <c r="E48" s="173"/>
      <c r="F48" s="173"/>
      <c r="G48" s="51"/>
    </row>
    <row r="49" spans="1:7" ht="15.75" thickBot="1" x14ac:dyDescent="0.3">
      <c r="A49" s="25"/>
      <c r="B49" s="64" t="s">
        <v>73</v>
      </c>
      <c r="C49" s="65"/>
      <c r="D49" s="66" t="s">
        <v>74</v>
      </c>
      <c r="E49" s="67" t="s">
        <v>75</v>
      </c>
      <c r="F49" s="68" t="s">
        <v>76</v>
      </c>
      <c r="G49" s="51"/>
    </row>
    <row r="50" spans="1:7" x14ac:dyDescent="0.25">
      <c r="A50" s="25"/>
      <c r="B50" s="69" t="s">
        <v>77</v>
      </c>
      <c r="C50" s="70"/>
      <c r="D50" s="71">
        <v>0.12</v>
      </c>
      <c r="E50" s="72">
        <f>(C19)/D45</f>
        <v>0.1665408238102252</v>
      </c>
      <c r="F50" s="73">
        <f>(D50*E50)*100</f>
        <v>1.9984898857227023</v>
      </c>
      <c r="G50" s="51"/>
    </row>
    <row r="51" spans="1:7" ht="15.75" thickBot="1" x14ac:dyDescent="0.3">
      <c r="A51" s="25"/>
      <c r="B51" s="58" t="s">
        <v>78</v>
      </c>
      <c r="C51" s="59"/>
      <c r="D51" s="74">
        <v>0.14000000000000001</v>
      </c>
      <c r="E51" s="75">
        <f>C22/D45</f>
        <v>0.17738855067966472</v>
      </c>
      <c r="F51" s="76">
        <f>(D51*E51)*100</f>
        <v>2.4834397095153062</v>
      </c>
      <c r="G51" s="51"/>
    </row>
    <row r="52" spans="1:7" ht="15.75" thickBot="1" x14ac:dyDescent="0.3">
      <c r="A52" s="25"/>
      <c r="B52" s="77" t="s">
        <v>79</v>
      </c>
      <c r="C52" s="78"/>
      <c r="D52" s="79"/>
      <c r="E52" s="79"/>
      <c r="F52" s="80">
        <f>F50+F51</f>
        <v>4.4819295952380083</v>
      </c>
      <c r="G52" s="51"/>
    </row>
    <row r="53" spans="1:7" ht="15.75" thickBot="1" x14ac:dyDescent="0.3">
      <c r="A53" s="25"/>
      <c r="B53" s="69"/>
      <c r="C53" s="70"/>
      <c r="D53" s="174">
        <v>2016</v>
      </c>
      <c r="E53" s="174"/>
      <c r="F53" s="175"/>
      <c r="G53" s="81"/>
    </row>
    <row r="54" spans="1:7" x14ac:dyDescent="0.25">
      <c r="A54" s="25"/>
      <c r="B54" s="58" t="s">
        <v>77</v>
      </c>
      <c r="C54" s="59"/>
      <c r="D54" s="74">
        <v>0.12</v>
      </c>
      <c r="E54" s="72">
        <f>(D19)/F45</f>
        <v>0.10688322183177311</v>
      </c>
      <c r="F54" s="73">
        <f>(D54*E54)*100</f>
        <v>1.2825986619812773</v>
      </c>
      <c r="G54" s="81"/>
    </row>
    <row r="55" spans="1:7" ht="15.75" thickBot="1" x14ac:dyDescent="0.3">
      <c r="A55" s="25"/>
      <c r="B55" s="58" t="s">
        <v>78</v>
      </c>
      <c r="C55" s="59"/>
      <c r="D55" s="74">
        <v>0.14000000000000001</v>
      </c>
      <c r="E55" s="75">
        <f>D22/F45</f>
        <v>0.59287253220730629</v>
      </c>
      <c r="F55" s="82">
        <f>(D55*E55)*100</f>
        <v>8.3002154509022894</v>
      </c>
      <c r="G55" s="81"/>
    </row>
    <row r="56" spans="1:7" ht="15.75" thickBot="1" x14ac:dyDescent="0.3">
      <c r="A56" s="25"/>
      <c r="B56" s="77" t="s">
        <v>80</v>
      </c>
      <c r="C56" s="78"/>
      <c r="D56" s="79"/>
      <c r="E56" s="79"/>
      <c r="F56" s="83">
        <f>F54+F55</f>
        <v>9.5828141128835664</v>
      </c>
      <c r="G56" s="81"/>
    </row>
    <row r="57" spans="1:7" ht="15.75" thickBot="1" x14ac:dyDescent="0.3">
      <c r="A57" s="25"/>
      <c r="B57" s="58"/>
      <c r="C57" s="59"/>
      <c r="D57" s="14"/>
      <c r="E57" s="14"/>
      <c r="F57" s="14"/>
      <c r="G57" s="81"/>
    </row>
    <row r="58" spans="1:7" ht="15.75" thickBot="1" x14ac:dyDescent="0.3">
      <c r="A58" s="25"/>
      <c r="B58" s="84" t="s">
        <v>176</v>
      </c>
      <c r="C58" s="84"/>
      <c r="D58" s="85">
        <f>D42-(D45*F52/100)</f>
        <v>-381113410.12</v>
      </c>
      <c r="E58" s="14"/>
      <c r="F58" s="14"/>
      <c r="G58" s="81"/>
    </row>
    <row r="59" spans="1:7" ht="15.75" thickBot="1" x14ac:dyDescent="0.3">
      <c r="A59" s="25"/>
      <c r="B59" s="86" t="s">
        <v>180</v>
      </c>
      <c r="C59" s="86"/>
      <c r="D59" s="87">
        <f>F42-(F45*F56/100)</f>
        <v>227431235.72</v>
      </c>
      <c r="E59" s="14"/>
      <c r="F59" s="14"/>
      <c r="G59" s="81"/>
    </row>
    <row r="60" spans="1:7" ht="15.75" thickBot="1" x14ac:dyDescent="0.3">
      <c r="A60" s="25"/>
      <c r="B60" s="88"/>
      <c r="C60" s="89"/>
      <c r="D60" s="90"/>
      <c r="E60" s="90"/>
      <c r="F60" s="90"/>
      <c r="G60" s="91"/>
    </row>
    <row r="61" spans="1:7" x14ac:dyDescent="0.25">
      <c r="A61" s="25"/>
      <c r="B61" s="59"/>
      <c r="C61" s="59"/>
      <c r="D61" s="14"/>
      <c r="E61" s="14"/>
      <c r="F61" s="14"/>
      <c r="G61" s="74"/>
    </row>
    <row r="62" spans="1:7" x14ac:dyDescent="0.25">
      <c r="A62" s="25"/>
      <c r="B62" s="59"/>
      <c r="C62" s="59"/>
      <c r="D62" s="14"/>
      <c r="E62" s="14"/>
      <c r="F62" s="14"/>
      <c r="G62" s="74"/>
    </row>
    <row r="63" spans="1:7" x14ac:dyDescent="0.25">
      <c r="A63" s="25"/>
      <c r="B63" s="59"/>
      <c r="C63" s="59"/>
      <c r="D63" s="14"/>
      <c r="E63" s="14"/>
      <c r="F63" s="14"/>
      <c r="G63" s="74"/>
    </row>
    <row r="64" spans="1:7" x14ac:dyDescent="0.25">
      <c r="A64" s="25"/>
      <c r="B64" s="59"/>
      <c r="C64" s="59"/>
      <c r="D64" s="14"/>
      <c r="E64" s="14"/>
      <c r="F64" s="14"/>
      <c r="G64" s="74"/>
    </row>
    <row r="65" spans="1:7" x14ac:dyDescent="0.25">
      <c r="A65" s="25"/>
      <c r="B65" s="59"/>
      <c r="C65" s="59"/>
      <c r="D65" s="14"/>
      <c r="E65" s="14"/>
      <c r="F65" s="14"/>
      <c r="G65" s="74"/>
    </row>
    <row r="66" spans="1:7" ht="15.75" thickBot="1" x14ac:dyDescent="0.3">
      <c r="A66" s="25"/>
      <c r="B66" s="59"/>
      <c r="C66" s="59"/>
      <c r="D66" s="14"/>
      <c r="E66" s="14"/>
      <c r="F66" s="14"/>
      <c r="G66" s="74"/>
    </row>
    <row r="67" spans="1:7" x14ac:dyDescent="0.25">
      <c r="A67" s="25"/>
      <c r="B67" s="169" t="s">
        <v>81</v>
      </c>
      <c r="C67" s="169"/>
      <c r="D67" s="169"/>
      <c r="E67" s="169"/>
      <c r="F67" s="169"/>
      <c r="G67" s="169"/>
    </row>
    <row r="68" spans="1:7" x14ac:dyDescent="0.25">
      <c r="A68" s="25"/>
      <c r="B68" s="59"/>
      <c r="C68" s="59"/>
      <c r="G68" s="92"/>
    </row>
    <row r="69" spans="1:7" x14ac:dyDescent="0.25">
      <c r="A69" s="25"/>
      <c r="B69" s="11" t="s">
        <v>82</v>
      </c>
      <c r="C69" s="11"/>
      <c r="D69" s="93" t="s">
        <v>55</v>
      </c>
      <c r="E69" s="94"/>
      <c r="F69" s="94"/>
      <c r="G69" s="94"/>
    </row>
    <row r="70" spans="1:7" x14ac:dyDescent="0.25">
      <c r="A70" s="25"/>
      <c r="B70" s="94"/>
      <c r="C70" s="94"/>
      <c r="D70" s="94" t="s">
        <v>52</v>
      </c>
      <c r="E70" s="94"/>
      <c r="F70" s="94"/>
      <c r="G70" s="94"/>
    </row>
    <row r="71" spans="1:7" x14ac:dyDescent="0.25">
      <c r="A71" s="25"/>
      <c r="B71" s="94"/>
      <c r="C71" s="94"/>
      <c r="D71" s="94"/>
      <c r="E71" s="94"/>
      <c r="F71" s="94"/>
      <c r="G71" s="94"/>
    </row>
    <row r="72" spans="1:7" x14ac:dyDescent="0.25">
      <c r="A72" s="25"/>
      <c r="B72" s="94"/>
      <c r="C72" s="94"/>
      <c r="D72" s="95">
        <v>2016</v>
      </c>
      <c r="E72" s="94"/>
      <c r="F72" s="95">
        <v>2017</v>
      </c>
      <c r="G72" s="94"/>
    </row>
    <row r="73" spans="1:7" x14ac:dyDescent="0.25">
      <c r="A73" s="25"/>
      <c r="B73" s="94"/>
      <c r="C73" s="94"/>
      <c r="D73" s="94"/>
      <c r="E73" s="94"/>
      <c r="F73" s="94"/>
      <c r="G73" s="94"/>
    </row>
    <row r="74" spans="1:7" x14ac:dyDescent="0.25">
      <c r="A74" s="25"/>
      <c r="B74" s="94"/>
      <c r="C74" s="94"/>
      <c r="D74" s="96">
        <f>C21</f>
        <v>343587155</v>
      </c>
      <c r="E74" s="97">
        <f>D74/D75</f>
        <v>0.84793626710586467</v>
      </c>
      <c r="F74" s="96">
        <f>D21</f>
        <v>244237439</v>
      </c>
      <c r="G74" s="97">
        <f>F74/F75</f>
        <v>0.43218677454919036</v>
      </c>
    </row>
    <row r="75" spans="1:7" x14ac:dyDescent="0.25">
      <c r="A75" s="25"/>
      <c r="B75" s="94"/>
      <c r="C75" s="94"/>
      <c r="D75" s="98">
        <f>C16</f>
        <v>405203985.63999999</v>
      </c>
      <c r="E75" s="94"/>
      <c r="F75" s="98">
        <f>D16</f>
        <v>565120113.29999995</v>
      </c>
      <c r="G75" s="94"/>
    </row>
    <row r="76" spans="1:7" x14ac:dyDescent="0.25">
      <c r="A76" s="25"/>
      <c r="B76" s="94"/>
      <c r="C76" s="94"/>
      <c r="D76" s="94"/>
      <c r="E76" s="94"/>
      <c r="F76" s="94"/>
      <c r="G76" s="94"/>
    </row>
    <row r="77" spans="1:7" ht="36" customHeight="1" x14ac:dyDescent="0.25">
      <c r="A77" s="25"/>
      <c r="B77" s="170" t="s">
        <v>181</v>
      </c>
      <c r="C77" s="170"/>
      <c r="D77" s="170"/>
      <c r="E77" s="170"/>
      <c r="F77" s="170"/>
      <c r="G77" s="170"/>
    </row>
    <row r="78" spans="1:7" x14ac:dyDescent="0.25">
      <c r="A78" s="25"/>
      <c r="B78" s="94"/>
      <c r="C78" s="94"/>
      <c r="D78" s="94"/>
      <c r="E78" s="94"/>
      <c r="F78" s="94"/>
      <c r="G78" s="94" t="s">
        <v>20</v>
      </c>
    </row>
    <row r="79" spans="1:7" x14ac:dyDescent="0.25">
      <c r="A79" s="25"/>
      <c r="B79" s="94"/>
      <c r="C79" s="94"/>
      <c r="D79" s="93" t="s">
        <v>55</v>
      </c>
      <c r="E79" s="94"/>
      <c r="F79" s="94"/>
      <c r="G79" s="94"/>
    </row>
    <row r="80" spans="1:7" x14ac:dyDescent="0.25">
      <c r="A80" s="25"/>
      <c r="B80" s="94"/>
      <c r="C80" s="94"/>
      <c r="D80" s="94" t="s">
        <v>83</v>
      </c>
      <c r="E80" s="94"/>
      <c r="F80" s="94"/>
      <c r="G80" s="94"/>
    </row>
    <row r="81" spans="1:8" x14ac:dyDescent="0.25">
      <c r="A81" s="25"/>
      <c r="B81" s="94"/>
      <c r="C81" s="94"/>
      <c r="D81" s="94"/>
      <c r="E81" s="94"/>
      <c r="F81" s="94"/>
      <c r="G81" s="94"/>
    </row>
    <row r="82" spans="1:8" x14ac:dyDescent="0.25">
      <c r="A82" s="25"/>
      <c r="B82" s="94"/>
      <c r="C82" s="94"/>
      <c r="D82" s="95">
        <v>2016</v>
      </c>
      <c r="E82" s="94"/>
      <c r="F82" s="95">
        <v>2017</v>
      </c>
      <c r="G82" s="94"/>
    </row>
    <row r="83" spans="1:8" x14ac:dyDescent="0.25">
      <c r="A83" s="25"/>
      <c r="B83" s="94"/>
      <c r="C83" s="94"/>
      <c r="D83" s="94"/>
      <c r="E83" s="94"/>
      <c r="F83" s="94"/>
      <c r="G83" s="94"/>
    </row>
    <row r="84" spans="1:8" x14ac:dyDescent="0.25">
      <c r="A84" s="25"/>
      <c r="B84" s="94"/>
      <c r="C84" s="94"/>
      <c r="D84" s="96">
        <f>D74</f>
        <v>343587155</v>
      </c>
      <c r="E84" s="97">
        <f>D84/D85</f>
        <v>5.5761900604104433</v>
      </c>
      <c r="F84" s="96">
        <f>F74</f>
        <v>244237439</v>
      </c>
      <c r="G84" s="97">
        <f>F84/F85</f>
        <v>0.76114249471755524</v>
      </c>
    </row>
    <row r="85" spans="1:8" x14ac:dyDescent="0.25">
      <c r="A85" s="25"/>
      <c r="B85" s="94"/>
      <c r="C85" s="94"/>
      <c r="D85" s="98">
        <f>C22</f>
        <v>61616830</v>
      </c>
      <c r="E85" s="94"/>
      <c r="F85" s="98">
        <f>D22</f>
        <v>320882674</v>
      </c>
      <c r="G85" s="94"/>
    </row>
    <row r="86" spans="1:8" x14ac:dyDescent="0.25">
      <c r="A86" s="25"/>
      <c r="B86" s="94"/>
      <c r="C86" s="94"/>
      <c r="D86" s="94"/>
      <c r="E86" s="94"/>
      <c r="F86" s="94"/>
      <c r="G86" s="94"/>
    </row>
    <row r="87" spans="1:8" x14ac:dyDescent="0.25">
      <c r="A87" s="25"/>
      <c r="B87" s="171" t="s">
        <v>183</v>
      </c>
      <c r="C87" s="171"/>
      <c r="D87" s="171"/>
      <c r="E87" s="171"/>
      <c r="F87" s="171"/>
      <c r="G87" s="171"/>
    </row>
    <row r="88" spans="1:8" x14ac:dyDescent="0.25">
      <c r="A88" s="25"/>
      <c r="B88" s="171"/>
      <c r="C88" s="171"/>
      <c r="D88" s="171"/>
      <c r="E88" s="171"/>
      <c r="F88" s="171"/>
      <c r="G88" s="171"/>
    </row>
    <row r="89" spans="1:8" x14ac:dyDescent="0.25">
      <c r="A89" s="25"/>
      <c r="B89" s="94"/>
      <c r="C89" s="94"/>
      <c r="D89" s="94"/>
      <c r="E89" s="94"/>
      <c r="F89" s="94"/>
      <c r="G89" s="94"/>
    </row>
    <row r="90" spans="1:8" x14ac:dyDescent="0.25">
      <c r="A90" s="25"/>
      <c r="B90" s="11" t="s">
        <v>84</v>
      </c>
      <c r="C90" s="11"/>
      <c r="D90" s="93" t="s">
        <v>85</v>
      </c>
      <c r="E90" s="93"/>
      <c r="F90" s="94"/>
      <c r="G90" s="94" t="s">
        <v>20</v>
      </c>
    </row>
    <row r="91" spans="1:8" x14ac:dyDescent="0.25">
      <c r="A91" s="25"/>
      <c r="B91" s="94"/>
      <c r="C91" s="94"/>
      <c r="D91" s="94" t="s">
        <v>11</v>
      </c>
      <c r="E91" s="94"/>
      <c r="F91" s="94"/>
      <c r="G91" s="94"/>
    </row>
    <row r="92" spans="1:8" x14ac:dyDescent="0.25">
      <c r="A92" s="25"/>
      <c r="B92" s="94"/>
      <c r="C92" s="94"/>
      <c r="D92" s="94"/>
      <c r="E92" s="94"/>
      <c r="F92" s="94"/>
      <c r="G92" s="94"/>
    </row>
    <row r="93" spans="1:8" x14ac:dyDescent="0.25">
      <c r="A93" s="25"/>
      <c r="B93" s="94"/>
      <c r="C93" s="94"/>
      <c r="D93" s="95">
        <v>2016</v>
      </c>
      <c r="E93" s="94"/>
      <c r="F93" s="95">
        <v>2017</v>
      </c>
      <c r="G93" s="94"/>
    </row>
    <row r="94" spans="1:8" x14ac:dyDescent="0.25">
      <c r="A94" s="25"/>
      <c r="B94" s="94"/>
      <c r="C94" s="94"/>
      <c r="D94" s="94"/>
      <c r="E94" s="94"/>
      <c r="F94" s="94"/>
      <c r="G94" s="94"/>
    </row>
    <row r="95" spans="1:8" x14ac:dyDescent="0.25">
      <c r="A95" s="25"/>
      <c r="B95" s="94"/>
      <c r="C95" s="94"/>
      <c r="D95" s="96">
        <f>C33</f>
        <v>-365545196</v>
      </c>
      <c r="E95" s="97">
        <f>D95/D96</f>
        <v>-0.90212635988760081</v>
      </c>
      <c r="F95" s="96">
        <f>D24</f>
        <v>259265844</v>
      </c>
      <c r="G95" s="97">
        <f>F95/F96</f>
        <v>0.45878006798594689</v>
      </c>
      <c r="H95" s="92">
        <f>+G95-E95</f>
        <v>1.3609064278735477</v>
      </c>
    </row>
    <row r="96" spans="1:8" x14ac:dyDescent="0.25">
      <c r="A96" s="25"/>
      <c r="B96" s="94"/>
      <c r="C96" s="94"/>
      <c r="D96" s="98">
        <f>C25</f>
        <v>405203985</v>
      </c>
      <c r="E96" s="94"/>
      <c r="F96" s="98">
        <f>D16</f>
        <v>565120113.29999995</v>
      </c>
      <c r="G96" s="94"/>
    </row>
    <row r="97" spans="1:9" x14ac:dyDescent="0.25">
      <c r="A97" s="25"/>
      <c r="B97" s="94"/>
      <c r="C97" s="94"/>
      <c r="D97" s="94"/>
      <c r="E97" s="94"/>
      <c r="F97" s="94"/>
      <c r="G97" s="94"/>
    </row>
    <row r="98" spans="1:9" ht="30" customHeight="1" x14ac:dyDescent="0.25">
      <c r="A98" s="25"/>
      <c r="B98" s="172" t="s">
        <v>184</v>
      </c>
      <c r="C98" s="172"/>
      <c r="D98" s="172"/>
      <c r="E98" s="172"/>
      <c r="F98" s="172"/>
      <c r="G98" s="172"/>
    </row>
    <row r="99" spans="1:9" x14ac:dyDescent="0.25">
      <c r="A99" s="25"/>
      <c r="B99" s="94"/>
      <c r="C99" s="94"/>
      <c r="D99" s="94"/>
      <c r="E99" s="94"/>
      <c r="F99" s="94"/>
      <c r="G99" s="94"/>
    </row>
    <row r="100" spans="1:9" ht="15.75" thickBot="1" x14ac:dyDescent="0.3">
      <c r="A100" s="25"/>
      <c r="B100" s="11" t="s">
        <v>86</v>
      </c>
      <c r="C100" s="11"/>
      <c r="D100" s="90" t="s">
        <v>87</v>
      </c>
    </row>
    <row r="101" spans="1:9" x14ac:dyDescent="0.25">
      <c r="A101" s="25"/>
      <c r="D101" t="s">
        <v>15</v>
      </c>
    </row>
    <row r="102" spans="1:9" x14ac:dyDescent="0.25">
      <c r="A102" s="25"/>
    </row>
    <row r="103" spans="1:9" x14ac:dyDescent="0.25">
      <c r="A103" s="25"/>
      <c r="D103" s="95">
        <v>2016</v>
      </c>
      <c r="E103" s="94"/>
      <c r="F103" s="95">
        <v>2017</v>
      </c>
    </row>
    <row r="104" spans="1:9" x14ac:dyDescent="0.25">
      <c r="A104" s="25"/>
    </row>
    <row r="105" spans="1:9" ht="15.75" thickBot="1" x14ac:dyDescent="0.3">
      <c r="A105" s="25"/>
      <c r="D105" s="99">
        <f>D95</f>
        <v>-365545196</v>
      </c>
      <c r="E105" s="100">
        <f>D105/D106</f>
        <v>-5.9325544011270948</v>
      </c>
      <c r="F105" s="99">
        <f>F95</f>
        <v>259265844</v>
      </c>
      <c r="G105" s="100">
        <f>F105/F106</f>
        <v>0.80797707388838325</v>
      </c>
      <c r="H105" s="106" t="s">
        <v>20</v>
      </c>
      <c r="I105" t="s">
        <v>20</v>
      </c>
    </row>
    <row r="106" spans="1:9" x14ac:dyDescent="0.25">
      <c r="A106" s="25"/>
      <c r="D106" s="23">
        <f>D85</f>
        <v>61616830</v>
      </c>
      <c r="F106" s="23">
        <f>F85</f>
        <v>320882674</v>
      </c>
    </row>
    <row r="107" spans="1:9" x14ac:dyDescent="0.25">
      <c r="A107" s="25"/>
      <c r="B107" t="s">
        <v>185</v>
      </c>
      <c r="D107" s="23"/>
      <c r="F107" s="23"/>
    </row>
    <row r="108" spans="1:9" ht="15.75" x14ac:dyDescent="0.25">
      <c r="A108" s="25"/>
      <c r="B108" s="31" t="s">
        <v>186</v>
      </c>
      <c r="C108" s="31"/>
      <c r="D108" s="31"/>
      <c r="E108" s="31"/>
      <c r="F108" s="31"/>
      <c r="G108" s="31"/>
    </row>
    <row r="109" spans="1:9" ht="15.75" x14ac:dyDescent="0.25">
      <c r="A109" s="25"/>
      <c r="B109" s="31"/>
      <c r="C109" s="31"/>
      <c r="D109" s="31"/>
      <c r="E109" s="31"/>
      <c r="F109" s="31"/>
      <c r="G109" s="31"/>
    </row>
    <row r="110" spans="1:9" x14ac:dyDescent="0.25">
      <c r="A110" s="25"/>
      <c r="B110" s="25"/>
      <c r="C110" s="25"/>
      <c r="D110" s="25"/>
      <c r="E110" s="25"/>
      <c r="F110" s="25"/>
      <c r="G110" s="25"/>
    </row>
    <row r="111" spans="1:9" x14ac:dyDescent="0.25">
      <c r="A111" s="25"/>
      <c r="B111" s="11" t="s">
        <v>88</v>
      </c>
      <c r="C111" s="11"/>
      <c r="D111" s="93" t="s">
        <v>89</v>
      </c>
      <c r="E111" s="98" t="s">
        <v>20</v>
      </c>
      <c r="F111" s="94"/>
      <c r="G111" s="94" t="s">
        <v>20</v>
      </c>
    </row>
    <row r="112" spans="1:9" x14ac:dyDescent="0.25">
      <c r="A112" s="25"/>
      <c r="B112" s="94"/>
      <c r="C112" s="94"/>
      <c r="D112" s="94" t="s">
        <v>90</v>
      </c>
      <c r="E112" s="98" t="s">
        <v>20</v>
      </c>
      <c r="F112" s="94"/>
      <c r="G112" s="94"/>
    </row>
    <row r="113" spans="1:9" x14ac:dyDescent="0.25">
      <c r="A113" s="25"/>
      <c r="B113" s="94"/>
      <c r="C113" s="94"/>
      <c r="D113" s="94"/>
      <c r="E113" s="94"/>
      <c r="F113" s="94"/>
      <c r="G113" s="94"/>
    </row>
    <row r="114" spans="1:9" x14ac:dyDescent="0.25">
      <c r="A114" s="25"/>
      <c r="B114" s="94"/>
      <c r="C114" s="94"/>
      <c r="D114" s="11">
        <v>2016</v>
      </c>
      <c r="E114" s="11"/>
      <c r="F114" s="11">
        <v>2017</v>
      </c>
      <c r="G114" s="94"/>
    </row>
    <row r="115" spans="1:9" x14ac:dyDescent="0.25">
      <c r="A115" s="25"/>
      <c r="B115" s="94"/>
      <c r="C115" s="94"/>
      <c r="D115" s="94"/>
      <c r="E115" s="94"/>
      <c r="F115" s="94"/>
      <c r="G115" s="94"/>
    </row>
    <row r="116" spans="1:9" ht="15.75" thickBot="1" x14ac:dyDescent="0.3">
      <c r="A116" s="25"/>
      <c r="B116" s="94"/>
      <c r="C116" s="94"/>
      <c r="D116" s="101">
        <v>185923519</v>
      </c>
      <c r="E116" s="102">
        <f>D116/D117</f>
        <v>0.54112476801155374</v>
      </c>
      <c r="F116" s="101">
        <v>344768953</v>
      </c>
      <c r="G116" s="102">
        <f>F116/F117</f>
        <v>1.411613855810206</v>
      </c>
      <c r="H116" s="23">
        <f>F116-D116</f>
        <v>158845434</v>
      </c>
    </row>
    <row r="117" spans="1:9" x14ac:dyDescent="0.25">
      <c r="A117" s="25"/>
      <c r="B117" s="94"/>
      <c r="C117" s="94"/>
      <c r="D117" s="98">
        <v>343587154</v>
      </c>
      <c r="E117" s="94"/>
      <c r="F117" s="98">
        <v>244237439</v>
      </c>
      <c r="G117" s="94"/>
      <c r="H117" s="23">
        <f>F117-D117</f>
        <v>-99349715</v>
      </c>
    </row>
    <row r="118" spans="1:9" x14ac:dyDescent="0.25">
      <c r="A118" s="25"/>
      <c r="B118" s="25"/>
      <c r="C118" s="25"/>
      <c r="D118" s="25"/>
      <c r="E118" s="25"/>
      <c r="F118" s="25"/>
      <c r="G118" s="133">
        <f>+G116-E116</f>
        <v>0.87048908779865231</v>
      </c>
    </row>
    <row r="119" spans="1:9" x14ac:dyDescent="0.25">
      <c r="A119" s="25"/>
      <c r="B119" s="25" t="s">
        <v>187</v>
      </c>
      <c r="C119" s="25"/>
      <c r="D119" s="25"/>
      <c r="E119" s="25"/>
      <c r="F119" s="25"/>
      <c r="G119" s="25"/>
    </row>
    <row r="120" spans="1:9" x14ac:dyDescent="0.25">
      <c r="A120" s="25"/>
      <c r="B120" s="25" t="s">
        <v>188</v>
      </c>
      <c r="C120" s="25"/>
      <c r="D120" s="25"/>
      <c r="E120" s="25"/>
      <c r="F120" s="25"/>
      <c r="G120" s="25"/>
    </row>
    <row r="121" spans="1:9" x14ac:dyDescent="0.25">
      <c r="A121" s="25"/>
      <c r="B121" s="25"/>
      <c r="C121" s="25"/>
      <c r="D121" s="25"/>
      <c r="E121" s="25"/>
      <c r="F121" s="25"/>
      <c r="G121" s="25"/>
    </row>
    <row r="122" spans="1:9" x14ac:dyDescent="0.25">
      <c r="A122" s="25"/>
      <c r="B122" s="32" t="s">
        <v>91</v>
      </c>
      <c r="C122" s="25"/>
      <c r="D122" s="103" t="s">
        <v>92</v>
      </c>
      <c r="E122" s="25"/>
      <c r="F122" s="25"/>
      <c r="G122" s="25"/>
    </row>
    <row r="123" spans="1:9" x14ac:dyDescent="0.25">
      <c r="A123" s="25"/>
      <c r="B123" s="25"/>
      <c r="C123" s="25"/>
      <c r="D123" s="25" t="s">
        <v>93</v>
      </c>
      <c r="E123" s="25"/>
      <c r="F123" s="25"/>
      <c r="G123" s="25"/>
    </row>
    <row r="124" spans="1:9" x14ac:dyDescent="0.25">
      <c r="A124" s="25"/>
      <c r="B124" s="25"/>
      <c r="C124" s="25"/>
      <c r="D124" s="25"/>
      <c r="E124" s="25"/>
      <c r="F124" s="25"/>
      <c r="G124" s="25"/>
    </row>
    <row r="125" spans="1:9" x14ac:dyDescent="0.25">
      <c r="A125" s="25"/>
      <c r="B125" s="25"/>
      <c r="C125" s="25"/>
      <c r="D125" s="32">
        <v>2016</v>
      </c>
      <c r="E125" s="32"/>
      <c r="F125" s="32">
        <v>2017</v>
      </c>
      <c r="G125" s="25"/>
    </row>
    <row r="126" spans="1:9" x14ac:dyDescent="0.25">
      <c r="A126" s="25"/>
      <c r="B126" s="25"/>
      <c r="C126" s="25"/>
      <c r="D126" s="25"/>
      <c r="E126" s="25"/>
      <c r="F126" s="25"/>
      <c r="G126" s="25"/>
      <c r="I126" s="119" t="s">
        <v>20</v>
      </c>
    </row>
    <row r="127" spans="1:9" x14ac:dyDescent="0.25">
      <c r="A127" s="25"/>
      <c r="B127" s="25"/>
      <c r="C127" s="25"/>
      <c r="D127" s="25" t="s">
        <v>182</v>
      </c>
      <c r="E127" s="118">
        <f>D116-D117</f>
        <v>-157663635</v>
      </c>
      <c r="F127" s="131" t="s">
        <v>189</v>
      </c>
      <c r="G127" s="104">
        <f>F116-F117</f>
        <v>100531514</v>
      </c>
      <c r="H127" s="134">
        <f>+G127-E127</f>
        <v>258195149</v>
      </c>
    </row>
    <row r="128" spans="1:9" x14ac:dyDescent="0.25">
      <c r="A128" s="25"/>
      <c r="B128" s="25"/>
      <c r="C128" s="25"/>
      <c r="D128" s="25"/>
      <c r="E128" s="118" t="s">
        <v>20</v>
      </c>
      <c r="F128" s="25"/>
      <c r="G128" s="104" t="s">
        <v>20</v>
      </c>
    </row>
    <row r="129" spans="1:8" x14ac:dyDescent="0.25">
      <c r="A129" s="25"/>
      <c r="B129" s="25"/>
      <c r="C129" s="25"/>
      <c r="D129" s="25"/>
      <c r="E129" s="105" t="s">
        <v>20</v>
      </c>
      <c r="F129" s="117" t="s">
        <v>20</v>
      </c>
      <c r="G129" s="105" t="s">
        <v>20</v>
      </c>
      <c r="H129" s="106" t="s">
        <v>20</v>
      </c>
    </row>
    <row r="130" spans="1:8" x14ac:dyDescent="0.25">
      <c r="A130" s="25"/>
      <c r="B130" s="25" t="s">
        <v>190</v>
      </c>
      <c r="C130" s="25"/>
      <c r="D130" s="25"/>
      <c r="E130" s="25"/>
      <c r="F130" s="25"/>
      <c r="G130" s="25"/>
    </row>
    <row r="131" spans="1:8" x14ac:dyDescent="0.25">
      <c r="A131" s="25"/>
      <c r="B131" s="25" t="s">
        <v>191</v>
      </c>
      <c r="C131" s="25"/>
      <c r="D131" s="25"/>
      <c r="E131" s="25"/>
      <c r="F131" s="25"/>
      <c r="G131" s="25"/>
    </row>
    <row r="132" spans="1:8" x14ac:dyDescent="0.25">
      <c r="A132" s="25"/>
      <c r="B132" s="25" t="s">
        <v>20</v>
      </c>
      <c r="C132" s="25"/>
      <c r="D132" s="25"/>
      <c r="E132" s="25"/>
      <c r="F132" s="25"/>
      <c r="G132" s="25"/>
    </row>
    <row r="133" spans="1:8" x14ac:dyDescent="0.25">
      <c r="A133" s="25"/>
      <c r="B133" s="25"/>
      <c r="C133" s="25"/>
      <c r="D133" s="25"/>
      <c r="E133" s="25"/>
      <c r="F133" s="25"/>
      <c r="G133" s="25"/>
    </row>
    <row r="134" spans="1:8" x14ac:dyDescent="0.25">
      <c r="A134" s="25"/>
      <c r="B134" s="25"/>
      <c r="C134" s="25"/>
      <c r="D134" s="25"/>
      <c r="E134" s="25"/>
      <c r="F134" s="25"/>
      <c r="G134" s="25"/>
    </row>
    <row r="135" spans="1:8" x14ac:dyDescent="0.25">
      <c r="A135" s="25"/>
      <c r="B135" s="25"/>
      <c r="C135" s="25"/>
      <c r="D135" s="25"/>
      <c r="E135" s="25"/>
      <c r="F135" s="25"/>
      <c r="G135" s="25"/>
    </row>
    <row r="136" spans="1:8" x14ac:dyDescent="0.25">
      <c r="A136" s="25"/>
      <c r="B136" s="25"/>
      <c r="C136" s="25"/>
      <c r="D136" s="25"/>
      <c r="E136" s="25"/>
      <c r="F136" s="25"/>
      <c r="G136" s="25"/>
    </row>
    <row r="137" spans="1:8" x14ac:dyDescent="0.25">
      <c r="A137" s="25"/>
      <c r="B137" s="25"/>
      <c r="C137" s="25"/>
      <c r="D137" s="25"/>
      <c r="E137" s="25"/>
      <c r="F137" s="25"/>
      <c r="G137" s="25"/>
    </row>
    <row r="138" spans="1:8" x14ac:dyDescent="0.25">
      <c r="A138" s="25"/>
      <c r="B138" s="25"/>
      <c r="C138" s="25"/>
      <c r="D138" s="25"/>
      <c r="E138" s="25"/>
      <c r="F138" s="25"/>
      <c r="G138" s="25"/>
    </row>
  </sheetData>
  <mergeCells count="10">
    <mergeCell ref="B67:G67"/>
    <mergeCell ref="B77:G77"/>
    <mergeCell ref="B87:G88"/>
    <mergeCell ref="B98:G98"/>
    <mergeCell ref="A1:G1"/>
    <mergeCell ref="A2:G2"/>
    <mergeCell ref="A3:G3"/>
    <mergeCell ref="B35:G35"/>
    <mergeCell ref="D48:F48"/>
    <mergeCell ref="D53:F53"/>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28"/>
  <sheetViews>
    <sheetView topLeftCell="A4" workbookViewId="0">
      <selection activeCell="C22" sqref="C22"/>
    </sheetView>
  </sheetViews>
  <sheetFormatPr baseColWidth="10" defaultRowHeight="15" x14ac:dyDescent="0.25"/>
  <cols>
    <col min="1" max="1" width="3.42578125" customWidth="1"/>
    <col min="2" max="2" width="7.140625" customWidth="1"/>
    <col min="3" max="3" width="35" customWidth="1"/>
    <col min="4" max="4" width="9.42578125" customWidth="1"/>
    <col min="5" max="5" width="13" customWidth="1"/>
    <col min="6" max="6" width="4.7109375" customWidth="1"/>
    <col min="7" max="7" width="11.85546875" bestFit="1" customWidth="1"/>
    <col min="8" max="8" width="4.5703125" customWidth="1"/>
    <col min="9" max="9" width="17.7109375" customWidth="1"/>
  </cols>
  <sheetData>
    <row r="7" spans="2:10" x14ac:dyDescent="0.25">
      <c r="B7" s="168" t="s">
        <v>0</v>
      </c>
      <c r="C7" s="168"/>
      <c r="D7" s="168"/>
      <c r="E7" s="168"/>
      <c r="F7" s="168"/>
      <c r="G7" s="168"/>
      <c r="H7" s="168"/>
      <c r="I7" s="168"/>
      <c r="J7" s="168"/>
    </row>
    <row r="8" spans="2:10" x14ac:dyDescent="0.25">
      <c r="B8" s="168" t="s">
        <v>1</v>
      </c>
      <c r="C8" s="168"/>
      <c r="D8" s="168"/>
      <c r="E8" s="168"/>
      <c r="F8" s="168"/>
      <c r="G8" s="168"/>
      <c r="H8" s="168"/>
      <c r="I8" s="168"/>
      <c r="J8" s="168"/>
    </row>
    <row r="9" spans="2:10" x14ac:dyDescent="0.25">
      <c r="B9" s="168" t="s">
        <v>110</v>
      </c>
      <c r="C9" s="168"/>
      <c r="D9" s="168"/>
      <c r="E9" s="168"/>
      <c r="F9" s="168"/>
      <c r="G9" s="168"/>
      <c r="H9" s="168"/>
      <c r="I9" s="168"/>
      <c r="J9" s="168"/>
    </row>
    <row r="10" spans="2:10" x14ac:dyDescent="0.25">
      <c r="B10" s="168" t="s">
        <v>194</v>
      </c>
      <c r="C10" s="168"/>
      <c r="D10" s="168"/>
      <c r="E10" s="168"/>
      <c r="F10" s="168"/>
      <c r="G10" s="168"/>
      <c r="H10" s="168"/>
      <c r="I10" s="168"/>
      <c r="J10" s="168"/>
    </row>
    <row r="11" spans="2:10" x14ac:dyDescent="0.25">
      <c r="B11" s="107"/>
      <c r="C11" s="107"/>
      <c r="D11" s="107"/>
      <c r="E11" s="107"/>
      <c r="F11" s="107"/>
      <c r="G11" s="107"/>
      <c r="H11" s="107"/>
      <c r="I11" s="107"/>
      <c r="J11" s="107"/>
    </row>
    <row r="14" spans="2:10" x14ac:dyDescent="0.25">
      <c r="E14" s="138">
        <v>2017</v>
      </c>
      <c r="F14" s="1"/>
      <c r="G14" s="107">
        <v>2018</v>
      </c>
      <c r="I14" s="107" t="s">
        <v>40</v>
      </c>
    </row>
    <row r="15" spans="2:10" x14ac:dyDescent="0.25">
      <c r="C15" t="s">
        <v>107</v>
      </c>
      <c r="E15" s="23">
        <v>344768953</v>
      </c>
      <c r="F15" s="23"/>
      <c r="G15" s="23">
        <v>551914968</v>
      </c>
      <c r="H15" s="23"/>
      <c r="I15" s="23">
        <f>G15-E15</f>
        <v>207146015</v>
      </c>
    </row>
    <row r="16" spans="2:10" x14ac:dyDescent="0.25">
      <c r="C16" t="s">
        <v>108</v>
      </c>
      <c r="E16" s="23">
        <v>244237439</v>
      </c>
      <c r="F16" s="23"/>
      <c r="G16" s="23">
        <v>58968435</v>
      </c>
      <c r="H16" s="23"/>
      <c r="I16" s="23">
        <f>G16-E16</f>
        <v>-185269004</v>
      </c>
    </row>
    <row r="17" spans="2:10" x14ac:dyDescent="0.25">
      <c r="E17" s="23"/>
      <c r="F17" s="23"/>
      <c r="G17" s="23"/>
      <c r="H17" s="23"/>
      <c r="I17" s="23" t="s">
        <v>20</v>
      </c>
    </row>
    <row r="18" spans="2:10" x14ac:dyDescent="0.25">
      <c r="B18" s="1"/>
      <c r="C18" s="1" t="s">
        <v>109</v>
      </c>
      <c r="D18" s="1"/>
      <c r="E18" s="3">
        <f>SUM(E15-E16)</f>
        <v>100531514</v>
      </c>
      <c r="F18" s="3"/>
      <c r="G18" s="3">
        <f>SUM(G15-G16)</f>
        <v>492946533</v>
      </c>
      <c r="H18" s="3"/>
      <c r="I18" s="3">
        <f>G18-E18</f>
        <v>392415019</v>
      </c>
      <c r="J18" s="1"/>
    </row>
    <row r="21" spans="2:10" x14ac:dyDescent="0.25">
      <c r="B21" s="1"/>
      <c r="C21" s="1" t="s">
        <v>240</v>
      </c>
      <c r="D21" s="1"/>
      <c r="E21" s="1"/>
      <c r="F21" s="1"/>
      <c r="G21" s="1"/>
      <c r="H21" s="1"/>
      <c r="I21" s="3">
        <f>I18</f>
        <v>392415019</v>
      </c>
      <c r="J21" s="1"/>
    </row>
    <row r="26" spans="2:10" x14ac:dyDescent="0.25">
      <c r="C26" s="1" t="s">
        <v>217</v>
      </c>
      <c r="D26" s="1"/>
      <c r="E26" s="1"/>
      <c r="F26" s="1" t="s">
        <v>30</v>
      </c>
      <c r="G26" s="1"/>
      <c r="H26" s="1"/>
    </row>
    <row r="27" spans="2:10" x14ac:dyDescent="0.25">
      <c r="C27" t="s">
        <v>239</v>
      </c>
      <c r="F27" t="s">
        <v>29</v>
      </c>
    </row>
    <row r="28" spans="2:10" x14ac:dyDescent="0.25">
      <c r="F28" t="s">
        <v>106</v>
      </c>
    </row>
  </sheetData>
  <mergeCells count="4">
    <mergeCell ref="B7:J7"/>
    <mergeCell ref="B8:J8"/>
    <mergeCell ref="B9:J9"/>
    <mergeCell ref="B10:J10"/>
  </mergeCells>
  <pageMargins left="0.70866141732283472"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31"/>
  <sheetViews>
    <sheetView tabSelected="1" workbookViewId="0">
      <selection activeCell="C20" sqref="C20"/>
    </sheetView>
  </sheetViews>
  <sheetFormatPr baseColWidth="10" defaultRowHeight="15" x14ac:dyDescent="0.25"/>
  <cols>
    <col min="1" max="1" width="3.7109375" customWidth="1"/>
    <col min="2" max="2" width="8.42578125" customWidth="1"/>
    <col min="3" max="3" width="26.7109375" customWidth="1"/>
    <col min="4" max="4" width="4.7109375" customWidth="1"/>
    <col min="5" max="5" width="15.5703125" customWidth="1"/>
    <col min="6" max="6" width="4.85546875" customWidth="1"/>
    <col min="7" max="7" width="11.85546875" bestFit="1" customWidth="1"/>
    <col min="8" max="8" width="5.42578125" customWidth="1"/>
    <col min="9" max="9" width="18.140625" customWidth="1"/>
  </cols>
  <sheetData>
    <row r="7" spans="2:10" x14ac:dyDescent="0.25">
      <c r="B7" s="168" t="s">
        <v>0</v>
      </c>
      <c r="C7" s="168"/>
      <c r="D7" s="168"/>
      <c r="E7" s="168"/>
      <c r="F7" s="168"/>
      <c r="G7" s="168"/>
      <c r="H7" s="168"/>
      <c r="I7" s="168"/>
      <c r="J7" s="168"/>
    </row>
    <row r="8" spans="2:10" x14ac:dyDescent="0.25">
      <c r="B8" s="168" t="s">
        <v>1</v>
      </c>
      <c r="C8" s="168"/>
      <c r="D8" s="168"/>
      <c r="E8" s="168"/>
      <c r="F8" s="168"/>
      <c r="G8" s="168"/>
      <c r="H8" s="168"/>
      <c r="I8" s="168"/>
      <c r="J8" s="168"/>
    </row>
    <row r="9" spans="2:10" x14ac:dyDescent="0.25">
      <c r="B9" s="168" t="s">
        <v>111</v>
      </c>
      <c r="C9" s="168"/>
      <c r="D9" s="168"/>
      <c r="E9" s="168"/>
      <c r="F9" s="168"/>
      <c r="G9" s="168"/>
      <c r="H9" s="168"/>
      <c r="I9" s="168"/>
      <c r="J9" s="168"/>
    </row>
    <row r="10" spans="2:10" x14ac:dyDescent="0.25">
      <c r="B10" s="168" t="s">
        <v>194</v>
      </c>
      <c r="C10" s="168"/>
      <c r="D10" s="168"/>
      <c r="E10" s="168"/>
      <c r="F10" s="168"/>
      <c r="G10" s="168"/>
      <c r="H10" s="168"/>
      <c r="I10" s="168"/>
      <c r="J10" s="168"/>
    </row>
    <row r="13" spans="2:10" x14ac:dyDescent="0.25">
      <c r="B13" t="s">
        <v>2</v>
      </c>
      <c r="C13" s="1" t="s">
        <v>15</v>
      </c>
      <c r="E13" s="138">
        <v>2017</v>
      </c>
      <c r="F13" s="1"/>
      <c r="G13" s="107">
        <v>2018</v>
      </c>
      <c r="I13" s="107" t="s">
        <v>40</v>
      </c>
    </row>
    <row r="14" spans="2:10" x14ac:dyDescent="0.25">
      <c r="B14">
        <v>3105</v>
      </c>
      <c r="C14" t="s">
        <v>112</v>
      </c>
      <c r="E14" s="23">
        <v>61247830</v>
      </c>
      <c r="F14" s="23"/>
      <c r="G14" s="23">
        <v>310379674</v>
      </c>
      <c r="H14" s="23"/>
      <c r="I14" s="23">
        <f>G14-E14</f>
        <v>249131844</v>
      </c>
    </row>
    <row r="15" spans="2:10" x14ac:dyDescent="0.25">
      <c r="B15">
        <v>3110</v>
      </c>
      <c r="C15" t="s">
        <v>113</v>
      </c>
      <c r="E15" s="23">
        <v>259265844</v>
      </c>
      <c r="F15" s="23"/>
      <c r="G15" s="23">
        <v>96598353</v>
      </c>
      <c r="H15" s="23"/>
      <c r="I15" s="23">
        <f>G15-E15</f>
        <v>-162667491</v>
      </c>
    </row>
    <row r="16" spans="2:10" x14ac:dyDescent="0.25">
      <c r="B16">
        <v>3235</v>
      </c>
      <c r="C16" t="s">
        <v>114</v>
      </c>
      <c r="E16" s="23">
        <v>369000</v>
      </c>
      <c r="F16" s="23"/>
      <c r="G16" s="23">
        <v>0</v>
      </c>
      <c r="H16" s="23"/>
      <c r="I16" s="23">
        <f>G16-E16</f>
        <v>-369000</v>
      </c>
    </row>
    <row r="17" spans="2:10" x14ac:dyDescent="0.25">
      <c r="B17" s="1"/>
      <c r="C17" s="1" t="s">
        <v>109</v>
      </c>
      <c r="D17" s="1"/>
      <c r="E17" s="3">
        <f>SUM(E14:E16)</f>
        <v>320882674</v>
      </c>
      <c r="F17" s="3"/>
      <c r="G17" s="3">
        <f>SUM(G14:G16)</f>
        <v>406978027</v>
      </c>
      <c r="H17" s="3"/>
      <c r="I17" s="3">
        <f>I14+I15+I16</f>
        <v>86095353</v>
      </c>
      <c r="J17" s="1"/>
    </row>
    <row r="19" spans="2:10" x14ac:dyDescent="0.25">
      <c r="C19" t="s">
        <v>278</v>
      </c>
    </row>
    <row r="20" spans="2:10" x14ac:dyDescent="0.25">
      <c r="B20" s="1"/>
      <c r="C20" s="1" t="s">
        <v>20</v>
      </c>
      <c r="D20" s="1"/>
      <c r="E20" s="1"/>
      <c r="F20" s="1"/>
      <c r="G20" s="1"/>
      <c r="H20" s="1"/>
      <c r="I20" s="3" t="s">
        <v>20</v>
      </c>
      <c r="J20" s="1"/>
    </row>
    <row r="29" spans="2:10" x14ac:dyDescent="0.25">
      <c r="C29" s="1" t="s">
        <v>217</v>
      </c>
      <c r="D29" s="1"/>
      <c r="E29" s="1"/>
      <c r="F29" s="1" t="s">
        <v>30</v>
      </c>
      <c r="G29" s="1"/>
      <c r="H29" s="1"/>
    </row>
    <row r="30" spans="2:10" x14ac:dyDescent="0.25">
      <c r="C30" t="s">
        <v>239</v>
      </c>
      <c r="F30" t="s">
        <v>29</v>
      </c>
    </row>
    <row r="31" spans="2:10" x14ac:dyDescent="0.25">
      <c r="F31" t="s">
        <v>106</v>
      </c>
    </row>
  </sheetData>
  <mergeCells count="4">
    <mergeCell ref="B7:J7"/>
    <mergeCell ref="B8:J8"/>
    <mergeCell ref="B9:J9"/>
    <mergeCell ref="B10:J10"/>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3"/>
  <sheetViews>
    <sheetView topLeftCell="A24" workbookViewId="0">
      <selection activeCell="K10" sqref="K10:L11"/>
    </sheetView>
  </sheetViews>
  <sheetFormatPr baseColWidth="10" defaultRowHeight="15" x14ac:dyDescent="0.25"/>
  <cols>
    <col min="1" max="1" width="46.5703125" customWidth="1"/>
    <col min="2" max="2" width="2" customWidth="1"/>
    <col min="3" max="3" width="17.85546875" customWidth="1"/>
    <col min="4" max="4" width="6.5703125" customWidth="1"/>
    <col min="5" max="5" width="19.5703125" customWidth="1"/>
    <col min="6" max="6" width="17.5703125" bestFit="1" customWidth="1"/>
  </cols>
  <sheetData>
    <row r="3" spans="1:6" s="1" customFormat="1" x14ac:dyDescent="0.25">
      <c r="A3" s="168" t="s">
        <v>241</v>
      </c>
      <c r="B3" s="168"/>
      <c r="C3" s="168"/>
      <c r="D3" s="168"/>
      <c r="E3" s="168"/>
    </row>
    <row r="4" spans="1:6" s="1" customFormat="1" x14ac:dyDescent="0.25">
      <c r="A4" s="168" t="s">
        <v>242</v>
      </c>
      <c r="B4" s="168"/>
      <c r="C4" s="168"/>
      <c r="D4" s="168"/>
      <c r="E4" s="168"/>
    </row>
    <row r="5" spans="1:6" x14ac:dyDescent="0.25">
      <c r="A5" s="167" t="s">
        <v>243</v>
      </c>
      <c r="B5" s="167"/>
      <c r="C5" s="167"/>
      <c r="D5" s="167"/>
      <c r="E5" s="167"/>
    </row>
    <row r="6" spans="1:6" x14ac:dyDescent="0.25">
      <c r="A6" s="167" t="s">
        <v>244</v>
      </c>
      <c r="B6" s="167"/>
      <c r="C6" s="167"/>
      <c r="D6" s="167"/>
      <c r="E6" s="167"/>
    </row>
    <row r="8" spans="1:6" s="1" customFormat="1" x14ac:dyDescent="0.25">
      <c r="C8" s="138">
        <v>2017</v>
      </c>
      <c r="E8" s="138">
        <v>2018</v>
      </c>
    </row>
    <row r="9" spans="1:6" s="1" customFormat="1" x14ac:dyDescent="0.25">
      <c r="A9" s="1" t="s">
        <v>245</v>
      </c>
    </row>
    <row r="10" spans="1:6" s="1" customFormat="1" x14ac:dyDescent="0.25"/>
    <row r="11" spans="1:6" x14ac:dyDescent="0.25">
      <c r="A11" t="s">
        <v>251</v>
      </c>
      <c r="C11" s="119">
        <f>364471082-2910085</f>
        <v>361560997</v>
      </c>
      <c r="E11" s="156">
        <f>166459298-7877488</f>
        <v>158581810</v>
      </c>
      <c r="F11" t="s">
        <v>20</v>
      </c>
    </row>
    <row r="12" spans="1:6" x14ac:dyDescent="0.25">
      <c r="A12" t="s">
        <v>274</v>
      </c>
      <c r="C12" s="119">
        <v>154462318</v>
      </c>
      <c r="E12" s="156">
        <f>145800258-10258</f>
        <v>145790000</v>
      </c>
    </row>
    <row r="13" spans="1:6" x14ac:dyDescent="0.25">
      <c r="A13" t="s">
        <v>252</v>
      </c>
      <c r="C13" s="119">
        <f>8991344163-185554523-0</f>
        <v>8805789640</v>
      </c>
      <c r="E13" s="156">
        <f>5072753661-74500000</f>
        <v>4998253661</v>
      </c>
    </row>
    <row r="14" spans="1:6" x14ac:dyDescent="0.25">
      <c r="A14" t="s">
        <v>253</v>
      </c>
      <c r="C14" s="119">
        <v>50513234</v>
      </c>
      <c r="E14" s="156">
        <v>58093615</v>
      </c>
    </row>
    <row r="15" spans="1:6" x14ac:dyDescent="0.25">
      <c r="A15" t="s">
        <v>254</v>
      </c>
      <c r="C15" s="119">
        <v>6033454</v>
      </c>
      <c r="E15" s="156">
        <v>2443971</v>
      </c>
    </row>
    <row r="16" spans="1:6" x14ac:dyDescent="0.25">
      <c r="A16" t="s">
        <v>255</v>
      </c>
      <c r="C16" s="119">
        <v>16737170</v>
      </c>
      <c r="E16" s="156">
        <f>5744141-310124</f>
        <v>5434017</v>
      </c>
      <c r="F16" s="156" t="s">
        <v>20</v>
      </c>
    </row>
    <row r="17" spans="1:6" x14ac:dyDescent="0.25">
      <c r="A17" t="s">
        <v>275</v>
      </c>
      <c r="C17" s="119">
        <f>-162085457-123652882</f>
        <v>-285738339</v>
      </c>
      <c r="E17" s="156">
        <f>-88904029-97484594</f>
        <v>-186388623</v>
      </c>
      <c r="F17" s="119" t="s">
        <v>20</v>
      </c>
    </row>
    <row r="18" spans="1:6" x14ac:dyDescent="0.25">
      <c r="A18" t="s">
        <v>277</v>
      </c>
      <c r="C18" s="119"/>
      <c r="E18" s="156">
        <f>-16828003-10-11104332</f>
        <v>-27932345</v>
      </c>
      <c r="F18" s="119"/>
    </row>
    <row r="19" spans="1:6" x14ac:dyDescent="0.25">
      <c r="A19" t="s">
        <v>256</v>
      </c>
      <c r="C19" s="119">
        <v>-1626190227</v>
      </c>
      <c r="E19" s="156">
        <v>-1281036370</v>
      </c>
      <c r="F19" s="156" t="s">
        <v>20</v>
      </c>
    </row>
    <row r="20" spans="1:6" x14ac:dyDescent="0.25">
      <c r="A20" t="s">
        <v>257</v>
      </c>
      <c r="C20" s="119"/>
      <c r="E20" s="156">
        <v>-4368000</v>
      </c>
      <c r="F20" t="s">
        <v>20</v>
      </c>
    </row>
    <row r="21" spans="1:6" x14ac:dyDescent="0.25">
      <c r="A21" t="s">
        <v>258</v>
      </c>
      <c r="C21" s="119">
        <f>-357696877-85274298</f>
        <v>-442971175</v>
      </c>
      <c r="E21" s="156">
        <f>-335216133-71245798</f>
        <v>-406461931</v>
      </c>
    </row>
    <row r="22" spans="1:6" x14ac:dyDescent="0.25">
      <c r="A22" t="s">
        <v>259</v>
      </c>
      <c r="C22" s="119"/>
      <c r="E22" s="156">
        <v>-311987821</v>
      </c>
    </row>
    <row r="23" spans="1:6" x14ac:dyDescent="0.25">
      <c r="A23" t="s">
        <v>260</v>
      </c>
      <c r="C23" s="119"/>
      <c r="E23" s="156">
        <v>-12903293</v>
      </c>
    </row>
    <row r="24" spans="1:6" x14ac:dyDescent="0.25">
      <c r="A24" t="s">
        <v>250</v>
      </c>
      <c r="C24" s="119">
        <v>-102419115</v>
      </c>
      <c r="E24" s="156">
        <v>-150475535.09999999</v>
      </c>
    </row>
    <row r="25" spans="1:6" x14ac:dyDescent="0.25">
      <c r="A25" t="s">
        <v>261</v>
      </c>
      <c r="C25" s="119">
        <v>-11190847</v>
      </c>
      <c r="E25" s="156">
        <v>-15208270</v>
      </c>
    </row>
    <row r="26" spans="1:6" x14ac:dyDescent="0.25">
      <c r="A26" t="s">
        <v>270</v>
      </c>
      <c r="C26" s="119">
        <v>-205116550</v>
      </c>
      <c r="E26" s="156">
        <v>-149549592</v>
      </c>
    </row>
    <row r="27" spans="1:6" x14ac:dyDescent="0.25">
      <c r="A27" t="s">
        <v>271</v>
      </c>
      <c r="C27" s="119">
        <v>-304285102</v>
      </c>
      <c r="E27" s="156">
        <v>-136655333</v>
      </c>
    </row>
    <row r="28" spans="1:6" x14ac:dyDescent="0.25">
      <c r="A28" t="s">
        <v>272</v>
      </c>
      <c r="C28" s="119">
        <v>-838000</v>
      </c>
      <c r="E28" s="156">
        <v>-49402343</v>
      </c>
    </row>
    <row r="29" spans="1:6" x14ac:dyDescent="0.25">
      <c r="A29" t="s">
        <v>273</v>
      </c>
      <c r="C29" s="119">
        <v>-83145081</v>
      </c>
      <c r="E29" s="156">
        <v>-106853230</v>
      </c>
    </row>
    <row r="30" spans="1:6" x14ac:dyDescent="0.25">
      <c r="A30" t="s">
        <v>262</v>
      </c>
      <c r="C30" s="119">
        <v>-14365827</v>
      </c>
      <c r="E30" s="156">
        <v>-19707025.32</v>
      </c>
    </row>
    <row r="31" spans="1:6" x14ac:dyDescent="0.25">
      <c r="A31" t="s">
        <v>263</v>
      </c>
      <c r="C31" s="119">
        <v>-1962256426</v>
      </c>
      <c r="E31" s="156">
        <v>-1824378971</v>
      </c>
    </row>
    <row r="32" spans="1:6" x14ac:dyDescent="0.25">
      <c r="A32" t="s">
        <v>264</v>
      </c>
      <c r="C32" s="119">
        <v>-3889273075</v>
      </c>
      <c r="E32" s="156">
        <v>-257615385</v>
      </c>
    </row>
    <row r="33" spans="1:7" x14ac:dyDescent="0.25">
      <c r="A33" t="s">
        <v>265</v>
      </c>
      <c r="C33" s="119">
        <v>-15845500</v>
      </c>
      <c r="E33" s="156">
        <v>-5982225</v>
      </c>
    </row>
    <row r="34" spans="1:7" x14ac:dyDescent="0.25">
      <c r="A34" t="s">
        <v>266</v>
      </c>
      <c r="C34" s="119">
        <v>-11921119</v>
      </c>
      <c r="E34" s="156">
        <v>-13813170</v>
      </c>
      <c r="F34" s="156" t="s">
        <v>20</v>
      </c>
    </row>
    <row r="35" spans="1:7" x14ac:dyDescent="0.25">
      <c r="A35" t="s">
        <v>267</v>
      </c>
      <c r="C35" s="119">
        <v>-15990465</v>
      </c>
      <c r="E35" s="156">
        <v>-18425733</v>
      </c>
    </row>
    <row r="36" spans="1:7" x14ac:dyDescent="0.25">
      <c r="A36" t="s">
        <v>276</v>
      </c>
      <c r="C36" s="119">
        <v>-185554523</v>
      </c>
      <c r="E36" s="156">
        <f>-13214952-151500</f>
        <v>-13366452</v>
      </c>
    </row>
    <row r="37" spans="1:7" x14ac:dyDescent="0.25">
      <c r="A37" t="s">
        <v>268</v>
      </c>
      <c r="C37" s="119">
        <v>-24655084</v>
      </c>
      <c r="E37" s="156">
        <v>-11069799.58</v>
      </c>
      <c r="F37" s="119" t="s">
        <v>20</v>
      </c>
    </row>
    <row r="38" spans="1:7" x14ac:dyDescent="0.25">
      <c r="A38" t="s">
        <v>269</v>
      </c>
      <c r="C38" s="119">
        <v>-45518618</v>
      </c>
      <c r="E38" s="156">
        <f>-53331728-1666000</f>
        <v>-54997728</v>
      </c>
      <c r="F38" s="119" t="s">
        <v>20</v>
      </c>
    </row>
    <row r="39" spans="1:7" x14ac:dyDescent="0.25">
      <c r="C39" s="119"/>
      <c r="E39" s="156"/>
      <c r="F39" s="119"/>
    </row>
    <row r="40" spans="1:7" s="1" customFormat="1" x14ac:dyDescent="0.25">
      <c r="A40" s="1" t="s">
        <v>249</v>
      </c>
      <c r="C40" s="157">
        <f>SUM(C11:C38)</f>
        <v>167821740</v>
      </c>
      <c r="E40" s="157">
        <f>SUM(E11:E38)</f>
        <v>310017898.99999994</v>
      </c>
      <c r="F40" s="157" t="s">
        <v>20</v>
      </c>
    </row>
    <row r="41" spans="1:7" s="1" customFormat="1" x14ac:dyDescent="0.25">
      <c r="C41" s="158"/>
      <c r="E41" s="157"/>
      <c r="F41" s="157"/>
      <c r="G41" s="1" t="s">
        <v>20</v>
      </c>
    </row>
    <row r="42" spans="1:7" x14ac:dyDescent="0.25">
      <c r="A42" s="1" t="s">
        <v>246</v>
      </c>
      <c r="C42" s="156">
        <f>C46-C44</f>
        <v>167821740</v>
      </c>
      <c r="E42" s="156">
        <f>E46-E44</f>
        <v>310017899</v>
      </c>
      <c r="F42" s="156" t="s">
        <v>20</v>
      </c>
    </row>
    <row r="43" spans="1:7" x14ac:dyDescent="0.25">
      <c r="A43" s="1"/>
      <c r="C43" s="119"/>
      <c r="E43" s="156"/>
      <c r="F43" s="156"/>
    </row>
    <row r="44" spans="1:7" x14ac:dyDescent="0.25">
      <c r="A44" t="s">
        <v>247</v>
      </c>
      <c r="C44" s="119">
        <v>31146955</v>
      </c>
      <c r="E44" s="156">
        <v>198968695</v>
      </c>
    </row>
    <row r="45" spans="1:7" x14ac:dyDescent="0.25">
      <c r="C45" s="119"/>
      <c r="E45" s="156"/>
    </row>
    <row r="46" spans="1:7" x14ac:dyDescent="0.25">
      <c r="A46" t="s">
        <v>248</v>
      </c>
      <c r="C46" s="119">
        <v>198968695</v>
      </c>
      <c r="E46" s="156">
        <v>508986594</v>
      </c>
    </row>
    <row r="51" spans="1:3" x14ac:dyDescent="0.25">
      <c r="A51" s="1" t="s">
        <v>195</v>
      </c>
      <c r="B51" s="1" t="s">
        <v>20</v>
      </c>
      <c r="C51" s="1" t="s">
        <v>30</v>
      </c>
    </row>
    <row r="52" spans="1:3" x14ac:dyDescent="0.25">
      <c r="A52" t="s">
        <v>196</v>
      </c>
      <c r="B52" t="s">
        <v>20</v>
      </c>
      <c r="C52" t="s">
        <v>34</v>
      </c>
    </row>
    <row r="53" spans="1:3" x14ac:dyDescent="0.25">
      <c r="C53" t="s">
        <v>35</v>
      </c>
    </row>
  </sheetData>
  <mergeCells count="4">
    <mergeCell ref="A3:E3"/>
    <mergeCell ref="A4:E4"/>
    <mergeCell ref="A5:E5"/>
    <mergeCell ref="A6:E6"/>
  </mergeCells>
  <pageMargins left="0.70866141732283472" right="0.70866141732283472" top="0.11811023622047245" bottom="0.11811023622047245" header="0.31496062992125984" footer="0.31496062992125984"/>
  <pageSetup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BALANCEDICIEMBRE2018</vt:lpstr>
      <vt:lpstr>ESTADO DE SITUACION FINANCIERA</vt:lpstr>
      <vt:lpstr>P Y G DICIEMBRE DE2018</vt:lpstr>
      <vt:lpstr>COMPARATIVO2016-2017DIC</vt:lpstr>
      <vt:lpstr>pyg COMPARAT.2016-2017</vt:lpstr>
      <vt:lpstr>RAZONES FINANCIERAS 2017</vt:lpstr>
      <vt:lpstr>ESTADODECAMBIOSENLASITUACIONFIN</vt:lpstr>
      <vt:lpstr>ESTADODECAMBIOSPATRIMONIO</vt:lpstr>
      <vt:lpstr>estado de flujo de efectivo 201</vt:lpstr>
      <vt:lpstr>NOTAS ESPECIFICAS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dc:creator>
  <cp:lastModifiedBy>Contabilidad</cp:lastModifiedBy>
  <cp:lastPrinted>2019-01-21T19:50:14Z</cp:lastPrinted>
  <dcterms:created xsi:type="dcterms:W3CDTF">2010-01-11T13:55:30Z</dcterms:created>
  <dcterms:modified xsi:type="dcterms:W3CDTF">2019-01-21T19:51:28Z</dcterms:modified>
</cp:coreProperties>
</file>